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w906oeVk92NUgQyMoH65e3dp7vlk3DBtNml1a2JtZCz0sZgPaC29glCqOxnX86UnVIHpgquk9Ds5hsKZQM2YWg==" workbookSaltValue="fca6C+vLVzCODQGPgvAzK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U9" i="17" s="1"/>
  <c r="U19" i="17" s="1"/>
  <c r="W9" i="16"/>
  <c r="V13" i="20"/>
  <c r="U13" i="20"/>
  <c r="L9" i="16"/>
  <c r="L10" i="16"/>
  <c r="L11" i="16"/>
  <c r="L12" i="16"/>
  <c r="L15" i="16"/>
  <c r="L16" i="16"/>
  <c r="L17" i="16"/>
  <c r="L25" i="16"/>
  <c r="L26" i="16"/>
  <c r="K17" i="2"/>
  <c r="K16" i="2"/>
  <c r="K15" i="2"/>
  <c r="L15"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X19" i="8" s="1"/>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C13" i="13"/>
  <c r="BK19" i="13"/>
  <c r="ER19" i="8"/>
  <c r="EL19" i="8"/>
  <c r="EQ19" i="8"/>
  <c r="ES19" i="8"/>
  <c r="AC19" i="8"/>
  <c r="BH19" i="13"/>
  <c r="R8" i="9"/>
  <c r="X12" i="21" s="1"/>
  <c r="R19" i="8"/>
  <c r="EP19" i="8"/>
  <c r="EP19" i="19"/>
  <c r="T17" i="11"/>
  <c r="AP16" i="20"/>
  <c r="BH9" i="16"/>
  <c r="V15" i="11"/>
  <c r="BJ17" i="11"/>
  <c r="BH15" i="11"/>
  <c r="BH15" i="16"/>
  <c r="Q17" i="20"/>
  <c r="Q18" i="20" s="1"/>
  <c r="V11" i="16"/>
  <c r="BF17" i="11"/>
  <c r="BF16" i="11"/>
  <c r="S17" i="16"/>
  <c r="BL12" i="11"/>
  <c r="AT17" i="20"/>
  <c r="V17" i="16"/>
  <c r="AL9" i="11"/>
  <c r="N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J18" i="17"/>
  <c r="L17" i="2"/>
  <c r="V10" i="16"/>
  <c r="V9" i="16"/>
  <c r="BG15" i="13"/>
  <c r="BA18" i="13"/>
  <c r="AH20" i="20"/>
  <c r="AL20" i="20"/>
  <c r="AB20" i="20"/>
  <c r="AO20" i="20"/>
  <c r="AN20" i="20"/>
  <c r="Y20" i="20"/>
  <c r="U10" i="11"/>
  <c r="BF17" i="8" l="1"/>
  <c r="AY18" i="8"/>
  <c r="AJ19" i="8"/>
  <c r="AC10" i="11"/>
  <c r="D10" i="6"/>
  <c r="BE10" i="8"/>
  <c r="AL12" i="11"/>
  <c r="H12" i="7"/>
  <c r="F9" i="2"/>
  <c r="B10" i="6"/>
  <c r="C17" i="6"/>
  <c r="M13" i="2"/>
  <c r="K18" i="2"/>
  <c r="BD11" i="13"/>
  <c r="L9" i="2"/>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BG15" i="8"/>
  <c r="K15" i="7" s="1"/>
  <c r="BD16" i="8"/>
  <c r="H16" i="7" s="1"/>
  <c r="C10" i="6"/>
  <c r="I10" i="12" s="1"/>
  <c r="AO17" i="11"/>
  <c r="L16" i="14"/>
  <c r="AZ18" i="13"/>
  <c r="L17" i="14"/>
  <c r="F15" i="17"/>
  <c r="AQ15" i="17" s="1"/>
  <c r="BF9" i="8"/>
  <c r="J9" i="7" s="1"/>
  <c r="E12" i="6"/>
  <c r="AO12" i="11"/>
  <c r="H12" i="2"/>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J18" i="2" s="1"/>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D10" i="2"/>
  <c r="AO10" i="11"/>
  <c r="AM11" i="11"/>
  <c r="C11" i="6"/>
  <c r="L11" i="14"/>
  <c r="AL17" i="11"/>
  <c r="B17" i="6"/>
  <c r="D17" i="6"/>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7" i="12" l="1"/>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<sst xmlns="http://schemas.openxmlformats.org/spreadsheetml/2006/main" count="2102" uniqueCount="917">
  <si>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</si>
  <si>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</si>
  <si>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</si>
  <si>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</si>
  <si>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</si>
  <si>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</si>
  <si>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</si>
  <si>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</si>
  <si>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</si>
  <si>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</si>
  <si>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</si>
  <si>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</si>
  <si>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</si>
  <si>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</si>
  <si>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</si>
  <si>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</si>
  <si>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</si>
  <si>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</si>
  <si>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</si>
  <si>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</si>
  <si>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</si>
  <si>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</si>
  <si>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</si>
  <si>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</si>
  <si>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</si>
  <si>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</si>
  <si>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</si>
  <si>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</si>
  <si>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</si>
  <si>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</si>
  <si>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</si>
  <si>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</si>
  <si>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</si>
  <si>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</si>
  <si>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</si>
  <si>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</si>
  <si>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</si>
  <si>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</si>
  <si>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</si>
  <si>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</si>
  <si>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</si>
  <si>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</si>
  <si>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</si>
  <si>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</si>
  <si>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</si>
  <si>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</si>
  <si>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</si>
  <si>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</si>
  <si>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</si>
  <si>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</si>
  <si>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</si>
  <si>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</si>
  <si>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</si>
  <si>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</si>
  <si>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</si>
  <si>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</si>
  <si>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</si>
  <si>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</si>
  <si>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</si>
  <si>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</si>
  <si>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</si>
  <si>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</si>
  <si>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</si>
  <si>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</si>
  <si>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</si>
  <si>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</si>
  <si>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</si>
  <si>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</si>
  <si>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</si>
  <si>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</si>
  <si>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</si>
  <si>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</si>
  <si>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</si>
  <si>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</si>
  <si>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</si>
  <si>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</si>
  <si>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</si>
  <si>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</si>
  <si>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</si>
  <si>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</si>
  <si>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</si>
  <si>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</si>
  <si>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</si>
  <si>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</si>
  <si>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</si>
  <si>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</si>
  <si>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</si>
  <si>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</si>
  <si>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</si>
  <si>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</si>
  <si>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</si>
  <si>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</si>
  <si>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</si>
  <si>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</si>
  <si>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</si>
  <si>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</si>
  <si>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</si>
  <si>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</si>
  <si>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</si>
  <si>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</si>
  <si>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</si>
  <si>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</si>
  <si>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</si>
  <si>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</si>
  <si>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</si>
  <si>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</si>
  <si>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</si>
  <si>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</si>
  <si>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</si>
  <si>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</si>
  <si>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</si>
  <si>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</si>
  <si>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</si>
  <si>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</si>
  <si>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</si>
  <si>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</si>
  <si>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</si>
  <si>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</si>
  <si>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</si>
  <si>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</si>
  <si>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</si>
  <si>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</si>
  <si>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</si>
  <si>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</si>
  <si>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</si>
  <si>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</si>
  <si>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</si>
  <si>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</si>
  <si>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</si>
  <si>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</si>
  <si>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</si>
  <si>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</si>
  <si>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</si>
  <si>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</si>
  <si>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</si>
  <si>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</si>
  <si>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</si>
  <si>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</si>
  <si>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</si>
  <si>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</si>
  <si>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</si>
  <si>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</si>
  <si>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</si>
  <si>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</si>
  <si>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</si>
  <si>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</si>
  <si>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</si>
  <si>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</si>
  <si>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</si>
  <si>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</si>
  <si>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</si>
  <si>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</si>
  <si>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</si>
  <si>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</si>
  <si>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</si>
  <si>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</si>
  <si>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</si>
  <si>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</si>
  <si>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</si>
  <si>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</si>
  <si>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</si>
  <si>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</si>
  <si>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</si>
  <si>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</si>
  <si>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</si>
  <si>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</si>
  <si>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</si>
  <si>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</si>
  <si>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</si>
  <si>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</si>
  <si>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</si>
  <si>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</si>
  <si>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</si>
  <si>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</si>
  <si>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</si>
  <si>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</si>
  <si>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</si>
  <si>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</si>
  <si>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</si>
  <si>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</si>
  <si>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</si>
  <si>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</si>
  <si>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</si>
  <si>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</si>
  <si>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</si>
  <si>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</si>
  <si>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</si>
  <si>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</si>
  <si>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</si>
  <si>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</si>
  <si>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</si>
  <si>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</si>
  <si>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</si>
  <si>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</si>
  <si>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</si>
  <si>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</si>
  <si>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</si>
  <si>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</si>
  <si>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</si>
  <si>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</si>
  <si>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</si>
  <si>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</si>
  <si>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</si>
  <si>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</si>
  <si>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</si>
  <si>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</si>
  <si>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</si>
  <si>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</si>
  <si>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</si>
  <si>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</si>
  <si>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</si>
  <si>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</si>
  <si>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</si>
  <si>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</si>
  <si>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</si>
  <si>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</si>
  <si>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</si>
  <si>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</si>
  <si>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</si>
  <si>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</si>
  <si>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</si>
  <si>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</si>
  <si>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</si>
  <si>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</si>
  <si>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</si>
  <si>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</si>
  <si>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</si>
  <si>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</si>
  <si>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</si>
  <si>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</si>
  <si>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</si>
  <si>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</si>
  <si>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</si>
  <si>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</si>
  <si>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</si>
  <si>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</si>
  <si>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</si>
  <si>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</si>
  <si>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</si>
  <si>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</si>
  <si>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</si>
  <si>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</si>
  <si>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</si>
  <si>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</si>
  <si>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</si>
  <si>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</si>
  <si>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</si>
  <si>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</si>
  <si>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</si>
  <si>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</si>
  <si>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</si>
  <si>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</si>
  <si>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</si>
  <si>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</si>
  <si>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</si>
  <si>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</si>
  <si>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</si>
  <si>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</si>
  <si>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</si>
  <si>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</si>
  <si>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</si>
  <si>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</si>
  <si>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</si>
  <si>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</si>
  <si>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</si>
  <si>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</si>
  <si>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</si>
  <si>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</si>
  <si>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</si>
  <si>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</si>
  <si>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</si>
  <si>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</si>
  <si>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</si>
  <si>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</si>
  <si>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</si>
  <si>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</si>
  <si>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</si>
  <si>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</si>
  <si>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</si>
  <si>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</si>
  <si>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</si>
  <si>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</si>
  <si>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</si>
  <si>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</si>
  <si>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</si>
  <si>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</si>
  <si>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</si>
  <si>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</si>
  <si>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</si>
  <si>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</si>
  <si>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</si>
  <si>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</si>
  <si>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</si>
  <si>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</si>
  <si>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</si>
  <si>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</si>
  <si>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</si>
  <si>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</si>
  <si>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</si>
  <si>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</si>
  <si>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</si>
  <si>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</si>
  <si>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</si>
  <si>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</si>
  <si>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</si>
  <si>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</si>
  <si>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</si>
  <si>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</si>
  <si>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</si>
  <si>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</si>
  <si>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</si>
  <si>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</si>
  <si>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</si>
  <si>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</si>
  <si>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</si>
  <si>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</si>
  <si>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</si>
  <si>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</si>
  <si>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</si>
  <si>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</si>
  <si>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</si>
  <si>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</si>
  <si>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</si>
  <si>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</si>
  <si>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</si>
  <si>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</si>
  <si>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</si>
  <si>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</si>
  <si>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</si>
  <si>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</si>
  <si>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</si>
  <si>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</si>
  <si>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</si>
  <si>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</si>
  <si>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</si>
  <si>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</si>
  <si>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</si>
  <si>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</si>
  <si>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</si>
  <si>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</si>
  <si>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</si>
  <si>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</si>
  <si>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</si>
  <si>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</si>
  <si>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</si>
  <si>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</si>
  <si>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</si>
  <si>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</si>
  <si>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</si>
  <si>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</si>
  <si>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</si>
  <si>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</si>
  <si>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</si>
  <si>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</si>
  <si>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</si>
  <si>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</si>
  <si>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</si>
  <si>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</si>
  <si>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</si>
  <si>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</si>
  <si>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</si>
  <si>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</si>
  <si>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</si>
  <si>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</si>
  <si>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</si>
  <si>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</si>
  <si>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</si>
  <si>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</si>
  <si>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</si>
  <si>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</si>
  <si>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</si>
  <si>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</si>
  <si>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</si>
  <si>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</si>
  <si>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</si>
  <si>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</si>
  <si>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</si>
  <si>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</si>
  <si>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</si>
  <si>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</si>
  <si>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</si>
  <si>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</si>
  <si>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</si>
  <si>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</si>
  <si>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</si>
  <si>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</si>
  <si>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</si>
  <si>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</si>
  <si>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</si>
  <si>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</si>
  <si>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</si>
  <si>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</si>
  <si>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</si>
  <si>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</si>
  <si>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</si>
  <si>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</si>
  <si>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</si>
  <si>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</si>
  <si>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</si>
  <si>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</si>
  <si>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</si>
  <si>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</si>
  <si>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</si>
  <si>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</si>
  <si>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</si>
  <si>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</si>
  <si>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</si>
  <si>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</si>
  <si>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</si>
  <si>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</si>
  <si>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</si>
  <si>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</si>
  <si>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</si>
  <si>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</si>
  <si>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</si>
  <si>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</si>
  <si>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</si>
  <si>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</si>
  <si>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</si>
  <si>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</si>
  <si>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</si>
  <si>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</si>
  <si>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</si>
  <si>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</si>
  <si>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</si>
  <si>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</si>
  <si>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</si>
  <si>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</si>
  <si>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</si>
  <si>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</si>
  <si>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</si>
  <si>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</si>
  <si>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</si>
  <si>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</si>
  <si>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</si>
  <si>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</si>
  <si>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</si>
  <si>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</si>
  <si>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</si>
  <si>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</si>
  <si>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</si>
  <si>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</si>
  <si>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</si>
  <si>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</si>
  <si>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</si>
  <si>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</si>
  <si>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</si>
  <si>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</si>
  <si>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</si>
  <si>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</si>
  <si>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</si>
  <si>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</si>
  <si>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</si>
  <si>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</si>
  <si>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</si>
  <si>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</si>
  <si>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</si>
  <si>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</si>
  <si>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</si>
  <si>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</si>
  <si>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</si>
  <si>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</si>
  <si>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</si>
  <si>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</si>
  <si>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</si>
  <si>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</si>
  <si>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</si>
  <si>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</si>
  <si>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</si>
  <si>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</si>
  <si>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</si>
  <si>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</si>
  <si>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</si>
  <si>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</si>
  <si>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</si>
  <si>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</si>
  <si>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</si>
  <si>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</si>
  <si>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</si>
  <si>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</si>
  <si>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</si>
  <si>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</si>
  <si>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</si>
  <si>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</si>
  <si>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</si>
  <si>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</si>
  <si>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</si>
  <si>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</si>
  <si>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</si>
  <si>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</si>
  <si>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</si>
  <si>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</si>
  <si>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</si>
  <si>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</si>
  <si>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</si>
  <si>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</si>
  <si>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</si>
  <si>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</si>
  <si>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</si>
  <si>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</si>
  <si>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</si>
  <si>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</si>
  <si>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</si>
  <si>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</si>
  <si>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</si>
  <si>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</si>
  <si>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</si>
  <si>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</si>
  <si>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</si>
  <si>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</si>
  <si>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</si>
  <si>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</si>
  <si>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</si>
  <si>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</si>
  <si>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</si>
  <si>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</si>
  <si>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</si>
  <si>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</si>
  <si>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</si>
  <si>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</si>
  <si>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</si>
  <si>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</si>
  <si>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</si>
  <si>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</si>
  <si>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</si>
  <si>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</si>
  <si>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</si>
  <si>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</si>
  <si>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</si>
  <si>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</si>
  <si>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</si>
  <si>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</si>
  <si>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</si>
  <si>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</si>
  <si>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</si>
  <si>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</si>
  <si>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</si>
  <si>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</si>
  <si>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</si>
  <si>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</si>
  <si>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</si>
  <si>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</si>
  <si>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</si>
  <si>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</si>
  <si>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</si>
  <si>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</si>
  <si>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</si>
  <si>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</si>
  <si>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</si>
  <si>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</si>
  <si>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</si>
  <si>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</si>
  <si>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</si>
  <si>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</si>
  <si>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</si>
  <si>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</si>
  <si>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</si>
  <si>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</si>
  <si>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</si>
  <si>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</si>
  <si>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</si>
  <si>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</si>
  <si>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</si>
  <si>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</si>
  <si>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</si>
  <si>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</si>
  <si>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</si>
  <si>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</si>
  <si>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</si>
  <si>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</si>
  <si>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</si>
  <si>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</si>
  <si>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</si>
  <si>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</si>
  <si>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</si>
  <si>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</si>
  <si>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</si>
  <si>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</si>
  <si>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</si>
  <si>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</si>
  <si>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</si>
  <si>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</si>
  <si>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</si>
  <si>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</si>
  <si>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</si>
  <si>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</si>
  <si>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</si>
  <si>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</si>
  <si>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</si>
  <si>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</si>
  <si>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</si>
  <si>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</si>
  <si>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</si>
  <si>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</si>
  <si>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</si>
  <si>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</si>
  <si>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</si>
  <si>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</si>
  <si>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</si>
  <si>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</si>
  <si>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</si>
  <si>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</si>
  <si>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</si>
  <si>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</si>
  <si>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</si>
  <si>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</si>
  <si>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</si>
  <si>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</si>
  <si>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</si>
  <si>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</si>
  <si>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</si>
  <si>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</si>
  <si>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</si>
  <si>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</si>
  <si>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</si>
  <si>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</si>
  <si>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</si>
  <si>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</si>
  <si>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</si>
  <si>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</si>
  <si>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</si>
  <si>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</si>
  <si>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</si>
  <si>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</si>
  <si>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</si>
  <si>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</si>
  <si>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</si>
  <si>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</si>
  <si>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</si>
  <si>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</si>
  <si>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</si>
  <si>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</si>
  <si>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</si>
  <si>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</si>
  <si>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</si>
  <si>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</si>
  <si>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</si>
  <si>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</si>
  <si>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</si>
  <si>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</si>
  <si>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</si>
  <si>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</si>
  <si>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</si>
  <si>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</si>
  <si>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</si>
  <si>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</si>
  <si>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</si>
  <si>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</si>
  <si>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</si>
  <si>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</si>
  <si>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</si>
  <si>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</si>
  <si>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</si>
  <si>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</si>
  <si>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</si>
  <si>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</si>
  <si>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</si>
  <si>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</si>
  <si>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</si>
  <si>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</si>
  <si>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</si>
  <si>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</si>
  <si>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</si>
  <si>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</si>
  <si>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</si>
  <si>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</si>
  <si>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</si>
  <si>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</si>
  <si>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</si>
  <si>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</si>
  <si>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</si>
  <si>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</si>
  <si>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</si>
  <si>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</si>
  <si>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</si>
  <si>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</si>
  <si>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</si>
  <si>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</si>
  <si>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</si>
  <si>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</si>
  <si>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</si>
  <si>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</si>
  <si>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</si>
  <si>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</si>
  <si>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</si>
  <si>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</si>
  <si>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</si>
  <si>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</si>
  <si>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</si>
  <si>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</si>
  <si>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</si>
  <si>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</si>
  <si>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</si>
  <si>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</si>
  <si>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</si>
  <si>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</si>
  <si>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</si>
  <si>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</si>
  <si>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</si>
  <si>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</si>
  <si>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</si>
  <si>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</si>
  <si>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</si>
  <si>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</si>
  <si>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</si>
  <si>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</si>
  <si>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</si>
  <si>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</si>
  <si>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</si>
  <si>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</si>
  <si>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</si>
  <si>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</si>
  <si>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</si>
  <si>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</si>
  <si>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</si>
  <si>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</si>
  <si>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</si>
  <si>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</si>
  <si>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</si>
  <si>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</si>
  <si>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</si>
  <si>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</si>
  <si>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</si>
  <si>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</si>
  <si>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</si>
  <si>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</si>
  <si>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</si>
  <si>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</si>
  <si>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</si>
  <si>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</si>
  <si>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</si>
  <si>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</si>
  <si>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</si>
  <si>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</si>
  <si>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</si>
  <si>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</si>
  <si>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</si>
  <si>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</si>
  <si>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</si>
  <si>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</si>
  <si>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</si>
  <si>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</si>
  <si>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</si>
  <si>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</si>
  <si>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</si>
  <si>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</si>
  <si>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</si>
  <si>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</si>
  <si>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</si>
  <si>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</si>
  <si>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</si>
  <si>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</si>
  <si>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</si>
  <si>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</si>
  <si>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</si>
  <si>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</si>
  <si>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</si>
  <si>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</si>
  <si>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</si>
  <si>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</si>
  <si>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</si>
  <si>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</si>
  <si>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</si>
  <si>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</si>
  <si>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</si>
  <si>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</si>
  <si>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</si>
  <si>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</si>
  <si>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</si>
  <si>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</si>
  <si>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</si>
  <si>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</si>
  <si>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</si>
  <si>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</si>
  <si>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</si>
  <si>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</si>
  <si>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</si>
  <si>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</si>
  <si>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</si>
  <si>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</si>
  <si>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</si>
  <si>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</si>
  <si>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</si>
  <si>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</si>
  <si>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</si>
  <si>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</si>
  <si>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</si>
  <si>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</si>
  <si>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</si>
  <si>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</si>
  <si>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</si>
  <si>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</si>
  <si>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</si>
  <si>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</si>
  <si>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</si>
  <si>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</si>
  <si>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</si>
  <si>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</si>
  <si>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</si>
  <si>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</si>
  <si>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</si>
  <si>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</si>
  <si>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</si>
  <si>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</si>
  <si>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</si>
  <si>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</si>
  <si>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</si>
  <si>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</si>
  <si>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</si>
  <si>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</si>
  <si>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</si>
  <si>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</si>
  <si>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</si>
  <si>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</si>
  <si>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</si>
  <si>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</si>
  <si>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</si>
  <si>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</si>
  <si>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</si>
  <si>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</si>
  <si>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</si>
  <si>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</si>
  <si>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</si>
  <si>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</si>
  <si>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</si>
  <si>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</si>
  <si>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</si>
  <si>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</si>
  <si>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</si>
  <si>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</si>
  <si>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</si>
  <si>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</si>
  <si>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</si>
  <si>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</si>
  <si>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</si>
  <si>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</si>
  <si>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</si>
  <si>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</si>
  <si>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</si>
  <si>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</si>
  <si>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</si>
  <si>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</si>
  <si>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</si>
  <si>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</si>
  <si>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</si>
  <si>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</si>
  <si>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</si>
  <si>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</si>
  <si>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</si>
  <si>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</si>
  <si>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</si>
  <si>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</si>
  <si>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</si>
  <si>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</si>
  <si>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</si>
  <si>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</si>
  <si>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</si>
  <si>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</si>
  <si>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</si>
  <si>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</si>
  <si>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</si>
  <si>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</si>
  <si>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</si>
  <si>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</si>
  <si>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</si>
  <si>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</si>
  <si>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</si>
  <si>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</si>
  <si>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</si>
  <si>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</si>
  <si>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</si>
  <si>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</si>
  <si>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</si>
  <si>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</si>
  <si>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</si>
  <si>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</si>
  <si>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</si>
  <si>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</si>
  <si>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</si>
  <si>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</si>
  <si>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</si>
  <si>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</si>
  <si>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</si>
  <si>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</si>
  <si>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</si>
  <si>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</si>
  <si>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</si>
  <si>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</si>
  <si>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</si>
  <si>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</si>
  <si>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</si>
  <si>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</si>
  <si>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</si>
  <si>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</si>
  <si>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</si>
  <si>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</si>
  <si>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</si>
  <si>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</si>
  <si>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</si>
  <si>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</si>
  <si>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</si>
  <si>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</si>
  <si>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</si>
  <si>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</si>
  <si>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</si>
  <si>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</si>
  <si>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</si>
  <si>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</si>
  <si>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</si>
  <si>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</si>
  <si>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</si>
  <si>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</si>
  <si>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</si>
  <si>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</si>
  <si>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CACERES</t>
  </si>
  <si>
    <t>Resumenes por Partidos Judiciales</t>
  </si>
  <si>
    <t>LOGROSAN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</si>
</sst>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E1cu+RjID4Fie8iMy6DJSUMft9lhlKKa6YW4laQnwaHOhHLJz9xrM3+lhc1EDRkwyKC/gfRj9rsFcEI2VnM6g==" saltValue="JqnQ2rb7S+tYWjCoP+hU2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LOGROSAN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0</v>
      </c>
      <c r="C10" s="403">
        <f>IF(ISNUMBER(Datos!I10),Datos!I10," - ")</f>
        <v>0</v>
      </c>
      <c r="D10" s="404">
        <f>IF(ISNUMBER(C10/Datos!BH10),C10/Datos!BH10," - ")</f>
        <v>0</v>
      </c>
      <c r="E10" s="403">
        <f>IF(ISNUMBER(Datos!J10),Datos!J10," - ")</f>
        <v>0</v>
      </c>
      <c r="F10" s="404" t="str">
        <f>IF(ISNUMBER(E10/B10),E10/B10," - ")</f>
        <v xml:space="preserve"> - </v>
      </c>
      <c r="G10" s="403">
        <f>IF(ISNUMBER(Datos!K10),Datos!K10," - ")</f>
        <v>0</v>
      </c>
      <c r="H10" s="404" t="str">
        <f>IF(ISNUMBER(G10/B10),G10/B10," - ")</f>
        <v xml:space="preserve"> - </v>
      </c>
      <c r="I10" s="403">
        <f>IF(ISNUMBER(Datos!L10),Datos!L10," - ")</f>
        <v>0</v>
      </c>
      <c r="J10" s="404" t="str">
        <f>IF(ISNUMBER(I10/B10),I10/B10," - ")</f>
        <v xml:space="preserve"> - </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307</v>
      </c>
      <c r="D12" s="404">
        <f>IF(ISNUMBER(C12/Datos!BH12),C12/Datos!BH12," - ")</f>
        <v>307</v>
      </c>
      <c r="E12" s="403">
        <f>IF(ISNUMBER(IF(J_V="SI",Datos!J12,Datos!J12+Datos!Z12)),IF(J_V="SI",Datos!J12,Datos!J12+Datos!Z12)," - ")</f>
        <v>196</v>
      </c>
      <c r="F12" s="404">
        <f>IF(ISNUMBER(E12/B12),E12/B12," - ")</f>
        <v>196</v>
      </c>
      <c r="G12" s="403">
        <f>IF(ISNUMBER(IF(J_V="SI",Datos!K12,Datos!K12+Datos!AA12)),IF(J_V="SI",Datos!K12,Datos!K12+Datos!AA12)," - ")</f>
        <v>147</v>
      </c>
      <c r="H12" s="404">
        <f>IF(ISNUMBER(G12/B12),G12/B12," - ")</f>
        <v>147</v>
      </c>
      <c r="I12" s="403">
        <f>IF(ISNUMBER(IF(J_V="SI",Datos!L12,Datos!L12+Datos!AB12)),IF(J_V="SI",Datos!L12,Datos!L12+Datos!AB12)," - ")</f>
        <v>356</v>
      </c>
      <c r="J12" s="404">
        <f>IF(ISNUMBER(I12/B12),I12/B12," - ")</f>
        <v>356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307</v>
      </c>
      <c r="D13" s="850" t="str">
        <f>IF(ISNUMBER(C13/Datos!BI13),C13/Datos!BI13," - ")</f>
        <v xml:space="preserve"> - </v>
      </c>
      <c r="E13" s="849">
        <f>SUBTOTAL(9,E8:E12)</f>
        <v>196</v>
      </c>
      <c r="F13" s="850">
        <f>IF(ISNUMBER(E13/B13),E13/B13," - ")</f>
        <v>196</v>
      </c>
      <c r="G13" s="849">
        <f>SUBTOTAL(9,G8:G12)</f>
        <v>147</v>
      </c>
      <c r="H13" s="850">
        <f>IF(ISNUMBER(G13/B13),G13/B13," - ")</f>
        <v>147</v>
      </c>
      <c r="I13" s="849">
        <f>SUBTOTAL(9,I8:I12)</f>
        <v>356</v>
      </c>
      <c r="J13" s="850">
        <f>IF(ISNUMBER(I13/B13),I13/B13," - ")</f>
        <v>356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183</v>
      </c>
      <c r="D16" s="404">
        <f>IF(ISNUMBER(C16/Datos!BH16),C16/Datos!BH16," - ")</f>
        <v>183</v>
      </c>
      <c r="E16" s="403">
        <f>IF(ISNUMBER(IF(D_I="SI",Datos!J16,Datos!J16+Datos!AD16)),IF(D_I="SI",Datos!J16,Datos!J16+Datos!AD16)," - ")</f>
        <v>111</v>
      </c>
      <c r="F16" s="404">
        <f>IF(ISNUMBER(E16/B16),E16/B16," - ")</f>
        <v>111</v>
      </c>
      <c r="G16" s="403">
        <f>IF(ISNUMBER(IF(D_I="SI",Datos!K16,Datos!K16+Datos!AE16)),IF(D_I="SI",Datos!K16,Datos!K16+Datos!AE16)," - ")</f>
        <v>105</v>
      </c>
      <c r="H16" s="404">
        <f>IF(ISNUMBER(G16/B16),G16/B16," - ")</f>
        <v>105</v>
      </c>
      <c r="I16" s="403">
        <f>IF(ISNUMBER(IF(D_I="SI",Datos!L16,Datos!L16+Datos!AF16)),IF(D_I="SI",Datos!L16,Datos!L16+Datos!AF16)," - ")</f>
        <v>189</v>
      </c>
      <c r="J16" s="404">
        <f>IF(ISNUMBER(I16/B16),I16/B16," - ")</f>
        <v>189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0</v>
      </c>
      <c r="C17" s="403">
        <f>IF(ISNUMBER(IF(D_I="SI",Datos!I17,Datos!I17+Datos!AC17)),IF(D_I="SI",Datos!I17,Datos!I17+Datos!AC17)," - ")</f>
        <v>0</v>
      </c>
      <c r="D17" s="404">
        <f>IF(ISNUMBER(C17/Datos!BH17),C17/Datos!BH17," - ")</f>
        <v>0</v>
      </c>
      <c r="E17" s="403">
        <f>IF(ISNUMBER(IF(D_I="SI",Datos!J17,Datos!J17+Datos!AD17)),IF(D_I="SI",Datos!J17,Datos!J17+Datos!AD17)," - ")</f>
        <v>0</v>
      </c>
      <c r="F17" s="404" t="str">
        <f>IF(ISNUMBER(E17/B17),E17/B17," - ")</f>
        <v xml:space="preserve"> - </v>
      </c>
      <c r="G17" s="403">
        <f>IF(ISNUMBER(IF(D_I="SI",Datos!K17,Datos!K17+Datos!AE17)),IF(D_I="SI",Datos!K17,Datos!K17+Datos!AE17)," - ")</f>
        <v>0</v>
      </c>
      <c r="H17" s="404" t="str">
        <f>IF(ISNUMBER(G17/B17),G17/B17," - ")</f>
        <v xml:space="preserve"> - </v>
      </c>
      <c r="I17" s="403">
        <f>IF(ISNUMBER(IF(D_I="SI",Datos!L17,Datos!L17+Datos!AF17)),IF(D_I="SI",Datos!L17,Datos!L17+Datos!AF17)," - ")</f>
        <v>0</v>
      </c>
      <c r="J17" s="404" t="str">
        <f>IF(ISNUMBER(I17/B17),I17/B17," - ")</f>
        <v xml:space="preserve"> - </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183</v>
      </c>
      <c r="D18" s="850" t="str">
        <f>IF(ISNUMBER(C18/Datos!BI18),C18/Datos!BI18," - ")</f>
        <v xml:space="preserve"> - </v>
      </c>
      <c r="E18" s="849">
        <f>SUBTOTAL(9,E14:E17)</f>
        <v>111</v>
      </c>
      <c r="F18" s="850">
        <f>IF(ISNUMBER(E18/B18),E18/B18," - ")</f>
        <v>111</v>
      </c>
      <c r="G18" s="849">
        <f>SUBTOTAL(9,G14:G17)</f>
        <v>105</v>
      </c>
      <c r="H18" s="850">
        <f>IF(ISNUMBER(G18/B18),G18/B18," - ")</f>
        <v>105</v>
      </c>
      <c r="I18" s="849">
        <f>SUBTOTAL(9,I14:I17)</f>
        <v>189</v>
      </c>
      <c r="J18" s="850">
        <f>IF(ISNUMBER(I18/B18),I18/B18," - ")</f>
        <v>189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490</v>
      </c>
      <c r="D19" s="795" t="str">
        <f>IF(ISNUMBER(C19/Datos!BI19),C19/Datos!BI19," - ")</f>
        <v xml:space="preserve"> - </v>
      </c>
      <c r="E19" s="794">
        <f>SUBTOTAL(9,E9:E18)</f>
        <v>307</v>
      </c>
      <c r="F19" s="795">
        <f>IF(ISNUMBER(E19/B19),E19/B19," - ")</f>
        <v>307</v>
      </c>
      <c r="G19" s="794">
        <f>SUBTOTAL(9,G9:G18)</f>
        <v>252</v>
      </c>
      <c r="H19" s="795">
        <f>IF(ISNUMBER(G19/B19),G19/B19," - ")</f>
        <v>252</v>
      </c>
      <c r="I19" s="794">
        <f>SUBTOTAL(9,I9:I18)</f>
        <v>545</v>
      </c>
      <c r="J19" s="795">
        <f>IF(ISNUMBER(I19/B19),I19/B19," - ")</f>
        <v>545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61ZFFg86ILuqeRdY2tCtQaT7Q76JFMGsjrCmNYXKuVJNdRrYn+ri34eeyH3AIWVyZGz2QCQAmlaORz2QF9r7g==" saltValue="WcG1OWmgB+REviAcjHdAb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LOGROSAN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Pm2laM9O5rPRDz57yxcO02UFLk10dNYt30gaTRBtfTce3Rb9jPo7kJ4B1aZrkIQ0iYnLn2Y7fXy+2BjZL7xrhg==" saltValue="C6L3fpQi5w0pM6GzFEYM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LOGROSAN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0</v>
      </c>
      <c r="C10" s="410">
        <f>Datos!AQ10</f>
        <v>0</v>
      </c>
      <c r="D10" s="403">
        <f>IF(ISNUMBER(Datos!M10),Datos!M10," - ")</f>
        <v>0</v>
      </c>
      <c r="E10" s="404" t="str">
        <f>IF(ISNUMBER(D10/B10),D10/B10," - ")</f>
        <v xml:space="preserve"> - </v>
      </c>
      <c r="F10" s="403">
        <f>IF(ISNUMBER(Datos!N10),Datos!N10," - ")</f>
        <v>0</v>
      </c>
      <c r="G10" s="404" t="str">
        <f>IF(ISNUMBER(F10/B10),F10/B10," - ")</f>
        <v xml:space="preserve"> - </v>
      </c>
      <c r="H10" s="403">
        <f>IF(ISNUMBER(Datos!O10),Datos!O10," - ")</f>
        <v>0</v>
      </c>
      <c r="I10" s="404" t="str">
        <f t="shared" ref="I10:I12" si="2">IF(ISNUMBER(H10/B10),H10/B10," - ")</f>
        <v xml:space="preserve"> - </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80</v>
      </c>
      <c r="E12" s="404">
        <f t="shared" si="0"/>
        <v>80</v>
      </c>
      <c r="F12" s="403">
        <f>IF(ISNUMBER(Datos!N12),Datos!N12," - ")</f>
        <v>24</v>
      </c>
      <c r="G12" s="404">
        <f t="shared" si="1"/>
        <v>24</v>
      </c>
      <c r="H12" s="403">
        <f>IF(ISNUMBER(Datos!O12),Datos!O12," - ")</f>
        <v>62</v>
      </c>
      <c r="I12" s="404">
        <f t="shared" si="2"/>
        <v>62</v>
      </c>
      <c r="BZ12" s="1186">
        <f>Datos!EZ12</f>
        <v>0</v>
      </c>
    </row>
    <row r="13" spans="1:78" ht="14.25" thickTop="1" thickBot="1">
      <c r="A13" s="848" t="str">
        <f>Datos!A13</f>
        <v>TOTAL</v>
      </c>
      <c r="B13" s="849">
        <f>Datos!AP13</f>
        <v>1</v>
      </c>
      <c r="C13" s="851">
        <f>Datos!AR13</f>
        <v>1</v>
      </c>
      <c r="D13" s="849">
        <f>SUBTOTAL(9,D9:D12)</f>
        <v>80</v>
      </c>
      <c r="E13" s="850">
        <f t="shared" si="0"/>
        <v>80</v>
      </c>
      <c r="F13" s="849">
        <f>SUBTOTAL(9,F9:F12)</f>
        <v>24</v>
      </c>
      <c r="G13" s="850">
        <f t="shared" si="1"/>
        <v>24</v>
      </c>
      <c r="H13" s="849">
        <f>SUBTOTAL(9,H9:H12)</f>
        <v>62</v>
      </c>
      <c r="I13" s="850">
        <f>IF(ISNUMBER(H13/B13),H13/B13," - ")</f>
        <v>62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16</v>
      </c>
      <c r="E16" s="404">
        <f t="shared" si="3"/>
        <v>16</v>
      </c>
      <c r="F16" s="403">
        <f>IF(ISNUMBER(Datos!N16),Datos!N16," - ")</f>
        <v>64</v>
      </c>
      <c r="G16" s="404">
        <f t="shared" si="4"/>
        <v>64</v>
      </c>
      <c r="H16" s="403">
        <f>IF(ISNUMBER(Datos!O16),Datos!O16," - ")</f>
        <v>0</v>
      </c>
      <c r="I16" s="404">
        <f t="shared" si="5"/>
        <v>0</v>
      </c>
      <c r="BZ16" s="1186">
        <f>Datos!EZ16</f>
        <v>0</v>
      </c>
    </row>
    <row r="17" spans="1:78" ht="13.5" thickBot="1">
      <c r="A17" s="402" t="str">
        <f>Datos!A17</f>
        <v>Jdos. Violencia contra la mujer</v>
      </c>
      <c r="B17" s="427">
        <f>Datos!AO17</f>
        <v>0</v>
      </c>
      <c r="C17" s="428">
        <f>Datos!AQ17</f>
        <v>0</v>
      </c>
      <c r="D17" s="403">
        <f>IF(ISNUMBER(Datos!M17),Datos!M17," - ")</f>
        <v>0</v>
      </c>
      <c r="E17" s="404" t="str">
        <f>IF(ISNUMBER(D17/B17),D17/B17," - ")</f>
        <v xml:space="preserve"> - </v>
      </c>
      <c r="F17" s="403">
        <f>IF(ISNUMBER(Datos!N17),Datos!N17," - ")</f>
        <v>0</v>
      </c>
      <c r="G17" s="404" t="str">
        <f>IF(ISNUMBER(F17/B17),F17/B17," - ")</f>
        <v xml:space="preserve"> - </v>
      </c>
      <c r="H17" s="403">
        <f>IF(ISNUMBER(Datos!O17),Datos!O17," - ")</f>
        <v>0</v>
      </c>
      <c r="I17" s="404" t="str">
        <f t="shared" si="5"/>
        <v xml:space="preserve"> - </v>
      </c>
      <c r="BZ17" s="1186">
        <f>Datos!EZ17</f>
        <v>0</v>
      </c>
    </row>
    <row r="18" spans="1:78" ht="14.25" thickTop="1" thickBot="1">
      <c r="A18" s="848" t="str">
        <f>Datos!A18</f>
        <v>TOTAL</v>
      </c>
      <c r="B18" s="849">
        <f>Datos!AP18</f>
        <v>1</v>
      </c>
      <c r="C18" s="851">
        <f>Datos!AR18</f>
        <v>1</v>
      </c>
      <c r="D18" s="849">
        <f>SUBTOTAL(9,D15:D17)</f>
        <v>16</v>
      </c>
      <c r="E18" s="850">
        <f t="shared" si="3"/>
        <v>16</v>
      </c>
      <c r="F18" s="849">
        <f>SUBTOTAL(9,F15:F17)</f>
        <v>64</v>
      </c>
      <c r="G18" s="850">
        <f t="shared" si="4"/>
        <v>64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96</v>
      </c>
      <c r="E19" s="795">
        <f>IF(ISNUMBER(D19/B19),D19/B19," - ")</f>
        <v>96</v>
      </c>
      <c r="F19" s="794">
        <f>SUBTOTAL(9,F8:F18)</f>
        <v>88</v>
      </c>
      <c r="G19" s="795">
        <f>IF(ISNUMBER(F19/B19),F19/B19," - ")</f>
        <v>88</v>
      </c>
      <c r="H19" s="794">
        <f>SUBTOTAL(9,H8:H18)</f>
        <v>62</v>
      </c>
      <c r="I19" s="795">
        <f>IF(ISNUMBER(H19/B19),H19/B19," - ")</f>
        <v>62</v>
      </c>
    </row>
    <row r="22" spans="1:78">
      <c r="A22" s="391" t="str">
        <f>Criterios!A4</f>
        <v>Fecha Informe: 03 jun. 2025</v>
      </c>
    </row>
    <row r="27" spans="1:78">
      <c r="A27" s="414"/>
    </row>
  </sheetData>
  <sheetProtection algorithmName="SHA-512" hashValue="8rd9bJUyvXsNdk5TpPALgw1Qzz3UPz4RaVyTmrtPlFYlFvjEmNaYEbvdZh3HoEXv9Os+oGnuLlIHJ1pWfUlOvA==" saltValue="+mhcLN7Gs6w8FWu1To8mE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LOGROSAN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46</v>
      </c>
      <c r="C12" s="434">
        <f>IF(ISNUMBER(Datos!Q12),Datos!Q12," - ")</f>
        <v>70</v>
      </c>
      <c r="D12" s="408">
        <f>IF(ISNUMBER(Datos!R12),Datos!R12," - ")</f>
        <v>421</v>
      </c>
    </row>
    <row r="13" spans="1:4" ht="14.25" thickTop="1" thickBot="1">
      <c r="A13" s="848" t="str">
        <f>Datos!A13</f>
        <v>TOTAL</v>
      </c>
      <c r="B13" s="849">
        <f>SUBTOTAL(9,B9:B12)</f>
        <v>46</v>
      </c>
      <c r="C13" s="853">
        <f>SUBTOTAL(9,C9:C12)</f>
        <v>70</v>
      </c>
      <c r="D13" s="851">
        <f>SUBTOTAL(9,D9:D12)</f>
        <v>421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6</v>
      </c>
      <c r="D16" s="408">
        <f>IF(ISNUMBER(Datos!R16),Datos!R16," - ")</f>
        <v>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v>
      </c>
      <c r="C18" s="853">
        <f>SUBTOTAL(9,C15:C17)</f>
        <v>6</v>
      </c>
      <c r="D18" s="851">
        <f>SUBTOTAL(9,D15:D17)</f>
        <v>22</v>
      </c>
    </row>
    <row r="19" spans="1:4" ht="16.5" customHeight="1" thickTop="1" thickBot="1">
      <c r="A19" s="793" t="str">
        <f>Datos!A19</f>
        <v>TOTAL JURISDICCIONES</v>
      </c>
      <c r="B19" s="798">
        <f>SUBTOTAL(9,B8:B18)</f>
        <v>52</v>
      </c>
      <c r="C19" s="799">
        <f>SUBTOTAL(9,C8:C18)</f>
        <v>76</v>
      </c>
      <c r="D19" s="800">
        <f>SUBTOTAL(9,D8:D18)</f>
        <v>443</v>
      </c>
    </row>
    <row r="20" spans="1:4" ht="7.5" customHeight="1"/>
    <row r="21" spans="1:4" ht="6" customHeight="1"/>
    <row r="22" spans="1:4">
      <c r="A22" s="391" t="str">
        <f>Criterios!A4</f>
        <v>Fecha Informe: 03 jun. 2025</v>
      </c>
    </row>
    <row r="27" spans="1:4">
      <c r="A27" s="414"/>
    </row>
  </sheetData>
  <sheetProtection algorithmName="SHA-512" hashValue="x/GPjNnzNCzO//sQ67XooitzxXSyVhY6ra2kaQZxtKBcf33wQ9bkNHH+Rx00gs/6EXB56qi6ggWl508Pefs/lg==" saltValue="cvvXCkpKmQMXGgQnn+XV5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LOGROSAN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0.1003584229390681</v>
      </c>
      <c r="C12" s="456">
        <f>IF(ISNUMBER(
   IF(J_V="SI",(Datos!J12-Datos!T12)/Datos!T12,(Datos!J12+Datos!Z12-(Datos!T12+Datos!AH12))/(Datos!T12+Datos!AH12))
     ),IF(J_V="SI",(Datos!J12-Datos!T12)/Datos!T12,(Datos!J12+Datos!Z12-(Datos!T12+Datos!AH12))/(Datos!T12+Datos!AH12))," - ")</f>
        <v>6.5217391304347824E-2</v>
      </c>
      <c r="D12" s="456">
        <f>IF(ISNUMBER(
   IF(J_V="SI",(Datos!K12-Datos!U12)/Datos!U12,(Datos!K12+Datos!AA12-(Datos!U12+Datos!AI12))/(Datos!U12+Datos!AI12))
     ),IF(J_V="SI",(Datos!K12-Datos!U12)/Datos!U12,(Datos!K12+Datos!AA12-(Datos!U12+Datos!AI12))/(Datos!U12+Datos!AI12))," - ")</f>
        <v>-0.11976047904191617</v>
      </c>
      <c r="E12" s="456">
        <f>IF(ISNUMBER(
   IF(J_V="SI",(Datos!L12-Datos!V12)/Datos!V12,(Datos!L12+Datos!AB12-(Datos!V12+Datos!AJ12))/(Datos!V12+Datos!AJ12))
     ),IF(J_V="SI",(Datos!L12-Datos!V12)/Datos!V12,(Datos!L12+Datos!AB12-(Datos!V12+Datos!AJ12))/(Datos!V12+Datos!AJ12))," - ")</f>
        <v>0.20270270270270271</v>
      </c>
      <c r="F12" s="456">
        <f>IF(ISNUMBER((Datos!M12-Datos!W12)/Datos!W12),(Datos!M12-Datos!W12)/Datos!W12," - ")</f>
        <v>0.31147540983606559</v>
      </c>
      <c r="G12" s="457">
        <f>IF(ISNUMBER((Datos!N12-Datos!X12)/Datos!X12),(Datos!N12-Datos!X12)/Datos!X12," - ")</f>
        <v>0.84615384615384615</v>
      </c>
      <c r="H12" s="455">
        <f>IF(ISNUMBER(((NºAsuntos!G12/NºAsuntos!E12)-Datos!BD12)/Datos!BD12),((NºAsuntos!G12/NºAsuntos!E12)-Datos!BD12)/Datos!BD12," - ")</f>
        <v>-0.17365269461077848</v>
      </c>
      <c r="I12" s="456">
        <f>IF(ISNUMBER(((NºAsuntos!I12/NºAsuntos!G12)-Datos!BE12)/Datos!BE12),((NºAsuntos!I12/NºAsuntos!G12)-Datos!BE12)/Datos!BE12," - ")</f>
        <v>0.36633572347858062</v>
      </c>
      <c r="J12" s="461">
        <f>IF(ISNUMBER((('Resol  Asuntos'!D12/NºAsuntos!G12)-Datos!BF12)/Datos!BF12),(('Resol  Asuntos'!D12/NºAsuntos!G12)-Datos!BF12)/Datos!BF12," - ")</f>
        <v>5.9911041339612776</v>
      </c>
      <c r="K12" s="462">
        <f>IF(ISNUMBER((((NºAsuntos!C12+NºAsuntos!E12)/NºAsuntos!G12)-Datos!BG12)/Datos!BG12),(((NºAsuntos!C12+NºAsuntos!E12)/NºAsuntos!G12)-Datos!BG12)/Datos!BG12," - ")</f>
        <v>0.23420167202950287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9.6428571428571433E-2</v>
      </c>
      <c r="C13" s="855">
        <f>IF(ISNUMBER(
   IF(J_V="SI",(Datos!J13-Datos!T13)/Datos!T13,(Datos!J13+Datos!Z13-(Datos!T13+Datos!AH13))/(Datos!T13+Datos!AH13))
     ),IF(J_V="SI",(Datos!J13-Datos!T13)/Datos!T13,(Datos!J13+Datos!Z13-(Datos!T13+Datos!AH13))/(Datos!T13+Datos!AH13))," - ")</f>
        <v>6.5217391304347824E-2</v>
      </c>
      <c r="D13" s="855">
        <f>IF(ISNUMBER(
   IF(J_V="SI",(Datos!K13-Datos!U13)/Datos!U13,(Datos!K13+Datos!AA13-(Datos!U13+Datos!AI13))/(Datos!U13+Datos!AI13))
     ),IF(J_V="SI",(Datos!K13-Datos!U13)/Datos!U13,(Datos!K13+Datos!AA13-(Datos!U13+Datos!AI13))/(Datos!U13+Datos!AI13))," - ")</f>
        <v>-0.11976047904191617</v>
      </c>
      <c r="E13" s="855">
        <f>IF(ISNUMBER(
   IF(J_V="SI",(Datos!L13-Datos!V13)/Datos!V13,(Datos!L13+Datos!AB13-(Datos!V13+Datos!AJ13))/(Datos!V13+Datos!AJ13))
     ),IF(J_V="SI",(Datos!L13-Datos!V13)/Datos!V13,(Datos!L13+Datos!AB13-(Datos!V13+Datos!AJ13))/(Datos!V13+Datos!AJ13))," - ")</f>
        <v>0.19865319865319866</v>
      </c>
      <c r="F13" s="856">
        <f>IF(ISNUMBER((Datos!M13-Datos!W13)/Datos!W13),(Datos!M13-Datos!W13)/Datos!W13," - ")</f>
        <v>0.31147540983606559</v>
      </c>
      <c r="G13" s="857">
        <f>IF(ISNUMBER((Datos!N13-Datos!X13)/Datos!X13),(Datos!N13-Datos!X13)/Datos!X13," - ")</f>
        <v>0.84615384615384615</v>
      </c>
      <c r="H13" s="857">
        <f>IF(ISNUMBER(((NºAsuntos!G13/NºAsuntos!E13)-Datos!BD13)/Datos!BD13),((NºAsuntos!G13/NºAsuntos!E13)-Datos!BD13)/Datos!BD13," - ")</f>
        <v>-0.17365269461077848</v>
      </c>
      <c r="I13" s="857">
        <f>IF(ISNUMBER(((NºAsuntos!I13/NºAsuntos!G13)-Datos!BE13)/Datos!BE13),((NºAsuntos!I13/NºAsuntos!G13)-Datos!BE13)/Datos!BE13," - ")</f>
        <v>0.36173526649717136</v>
      </c>
      <c r="J13" s="857">
        <f>IF(ISNUMBER((('Resol  Asuntos'!D13/NºAsuntos!G13)-Datos!BF13)/Datos!BF13),(('Resol  Asuntos'!D13/NºAsuntos!G13)-Datos!BF13)/Datos!BF13," - ")</f>
        <v>5.9911041339612776</v>
      </c>
      <c r="K13" s="857">
        <f>IF(ISNUMBER((((NºAsuntos!C13+NºAsuntos!E13)/NºAsuntos!G13)-Datos!BG13)/Datos!BG13),(((NºAsuntos!C13+NºAsuntos!E13)/NºAsuntos!G13)-Datos!BG13)/Datos!BG13," - ")</f>
        <v>0.23154175463288759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-0.15277777777777779</v>
      </c>
      <c r="C16" s="456">
        <f>IF(ISNUMBER(
   IF(D_I="SI",(Datos!J16-Datos!T16)/Datos!T16,(Datos!J16+Datos!AD16-(Datos!T16+Datos!AL16))/(Datos!T16+Datos!AL16))
     ),IF(D_I="SI",(Datos!J16-Datos!T16)/Datos!T16,(Datos!J16+Datos!AD16-(Datos!T16+Datos!AL16))/(Datos!T16+Datos!AL16))," - ")</f>
        <v>-5.9322033898305086E-2</v>
      </c>
      <c r="D16" s="456">
        <f>IF(ISNUMBER(
   IF(D_I="SI",(Datos!K16-Datos!U16)/Datos!U16,(Datos!K16+Datos!AE16-(Datos!U16+Datos!AM16))/(Datos!U16+Datos!AM16))
     ),IF(D_I="SI",(Datos!K16-Datos!U16)/Datos!U16,(Datos!K16+Datos!AE16-(Datos!U16+Datos!AM16))/(Datos!U16+Datos!AM16))," - ")</f>
        <v>-0.15322580645161291</v>
      </c>
      <c r="E16" s="456">
        <f>IF(ISNUMBER(
   IF(D_I="SI",(Datos!L16-Datos!V16)/Datos!V16,(Datos!L16+Datos!AF16-(Datos!V16+Datos!AN16))/(Datos!V16+Datos!AN16))
     ),IF(D_I="SI",(Datos!L16-Datos!V16)/Datos!V16,(Datos!L16+Datos!AF16-(Datos!V16+Datos!AN16))/(Datos!V16+Datos!AN16))," - ")</f>
        <v>-0.1</v>
      </c>
      <c r="F16" s="456">
        <f>IF(ISNUMBER((Datos!M16-Datos!W16)/Datos!W16),(Datos!M16-Datos!W16)/Datos!W16," - ")</f>
        <v>-0.30434782608695654</v>
      </c>
      <c r="G16" s="457">
        <f>IF(ISNUMBER((Datos!N16-Datos!X16)/Datos!X16),(Datos!N16-Datos!X16)/Datos!X16," - ")</f>
        <v>-0.2808988764044944</v>
      </c>
      <c r="H16" s="455">
        <f>IF(ISNUMBER(((NºAsuntos!G16/NºAsuntos!E16)-Datos!BD16)/Datos!BD16),((NºAsuntos!G16/NºAsuntos!E16)-Datos!BD16)/Datos!BD16," - ")</f>
        <v>-9.9825632083696672E-2</v>
      </c>
      <c r="I16" s="456">
        <f>IF(ISNUMBER(((NºAsuntos!I16/NºAsuntos!G16)-Datos!BE16)/Datos!BE16),((NºAsuntos!I16/NºAsuntos!G16)-Datos!BE16)/Datos!BE16," - ")</f>
        <v>6.2857142857142848E-2</v>
      </c>
      <c r="J16" s="461">
        <f>IF(ISNUMBER((('Resol  Asuntos'!D16/NºAsuntos!G16)-Datos!BF16)/Datos!BF16),(('Resol  Asuntos'!D16/NºAsuntos!G16)-Datos!BF16)/Datos!BF16," - ")</f>
        <v>-0.17846790890269146</v>
      </c>
      <c r="K16" s="462">
        <f>IF(ISNUMBER((((NºAsuntos!C16+NºAsuntos!E16)/NºAsuntos!G16)-Datos!BG16)/Datos!BG16),(((NºAsuntos!C16+NºAsuntos!E16)/NºAsuntos!G16)-Datos!BG16)/Datos!BG16," - ")</f>
        <v>3.9520958083832339E-2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t="str">
        <f>IF(ISNUMBER(
   IF(D_I="SI",(Datos!J17-Datos!T17)/Datos!T17,(Datos!J17+Datos!AD17-(Datos!T17+Datos!AL17))/(Datos!T17+Datos!AL17))
     ),IF(D_I="SI",(Datos!J17-Datos!T17)/Datos!T17,(Datos!J17+Datos!AD17-(Datos!T17+Datos!AL17))/(Datos!T17+Datos!AL17))," - ")</f>
        <v xml:space="preserve"> - </v>
      </c>
      <c r="D17" s="456" t="str">
        <f>IF(ISNUMBER(
   IF(D_I="SI",(Datos!K17-Datos!U17)/Datos!U17,(Datos!K17+Datos!AE17-(Datos!U17+Datos!AM17))/(Datos!U17+Datos!AM17))
     ),IF(D_I="SI",(Datos!K17-Datos!U17)/Datos!U17,(Datos!K17+Datos!AE17-(Datos!U17+Datos!AM17))/(Datos!U17+Datos!AM17))," - ")</f>
        <v xml:space="preserve"> - </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-0.16818181818181818</v>
      </c>
      <c r="C18" s="855">
        <f>IF(ISNUMBER(
   IF(Criterios!B14="SI",(Datos!J18-Datos!T18)/Datos!T18,(Datos!J18+Datos!AD18-(Datos!T18+Datos!AL18))/(Datos!T18+Datos!AL18))
     ),IF(Criterios!B14="SI",(Datos!J18-Datos!T18)/Datos!T18,(Datos!J18+Datos!AD18-(Datos!T18+Datos!AL18))/(Datos!T18+Datos!AL18))," - ")</f>
        <v>-5.9322033898305086E-2</v>
      </c>
      <c r="D18" s="855">
        <f>IF(ISNUMBER(
   IF(Criterios!B14="SI",(Datos!K18-Datos!U18)/Datos!U18,(Datos!K18+Datos!AE18-(Datos!U18+Datos!AM18))/(Datos!U18+Datos!AM18))
     ),IF(Criterios!B14="SI",(Datos!K18-Datos!U18)/Datos!U18,(Datos!K18+Datos!AE18-(Datos!U18+Datos!AM18))/(Datos!U18+Datos!AM18))," - ")</f>
        <v>-0.15322580645161291</v>
      </c>
      <c r="E18" s="855">
        <f>IF(ISNUMBER(
   IF(Criterios!B14="SI",(Datos!L18-Datos!V18)/Datos!V18,(Datos!L18+Datos!AF18-(Datos!V18+Datos!AN18))/(Datos!V18+Datos!AN18))
     ),IF(Criterios!B14="SI",(Datos!L18-Datos!V18)/Datos!V18,(Datos!L18+Datos!AF18-(Datos!V18+Datos!AN18))/(Datos!V18+Datos!AN18))," - ")</f>
        <v>-0.11682242990654206</v>
      </c>
      <c r="F18" s="856">
        <f>IF(ISNUMBER((Datos!M18-Datos!W18)/Datos!W18),(Datos!M18-Datos!W18)/Datos!W18," - ")</f>
        <v>-0.30434782608695654</v>
      </c>
      <c r="G18" s="857">
        <f>IF(ISNUMBER((Datos!N18-Datos!X18)/Datos!X18),(Datos!N18-Datos!X18)/Datos!X18," - ")</f>
        <v>-0.2808988764044944</v>
      </c>
      <c r="H18" s="857">
        <f>IF(ISNUMBER(((NºAsuntos!G18/NºAsuntos!E18)-Datos!BD18)/Datos!BD18),((NºAsuntos!G18/NºAsuntos!E18)-Datos!BD18)/Datos!BD18," - ")</f>
        <v>-9.9825632083696672E-2</v>
      </c>
      <c r="I18" s="857">
        <f>IF(ISNUMBER(((NºAsuntos!I18/NºAsuntos!G18)-Datos!BE18)/Datos!BE18),((NºAsuntos!I18/NºAsuntos!G18)-Datos!BE18)/Datos!BE18," - ")</f>
        <v>4.2990654205607493E-2</v>
      </c>
      <c r="J18" s="857">
        <f>IF(ISNUMBER((('Resol  Asuntos'!D18/NºAsuntos!G18)-Datos!BF18)/Datos!BF18),(('Resol  Asuntos'!D18/NºAsuntos!G18)-Datos!BF18)/Datos!BF18," - ")</f>
        <v>-0.17846790890269146</v>
      </c>
      <c r="K18" s="857">
        <f>IF(ISNUMBER((((NºAsuntos!C18+NºAsuntos!E18)/NºAsuntos!G18)-Datos!BG18)/Datos!BG18),(((NºAsuntos!C18+NºAsuntos!E18)/NºAsuntos!G18)-Datos!BG18)/Datos!BG18," - ")</f>
        <v>2.7218934911242613E-2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-0.02</v>
      </c>
      <c r="C19" s="802">
        <f>IF(ISNUMBER(
   IF(J_V="SI",(Datos!J19-Datos!T19)/Datos!T19,(Datos!J19+Datos!Z19-(Datos!T19+Datos!AH19))/(Datos!T19+Datos!AH19))
     ),IF(J_V="SI",(Datos!J19-Datos!T19)/Datos!T19,(Datos!J19+Datos!Z19-(Datos!T19+Datos!AH19))/(Datos!T19+Datos!AH19))," - ")</f>
        <v>1.6556291390728478E-2</v>
      </c>
      <c r="D19" s="802">
        <f>IF(ISNUMBER(
   IF(J_V="SI",(Datos!K19-Datos!U19)/Datos!U19,(Datos!K19+Datos!AA19-(Datos!U19+Datos!AI19))/(Datos!U19+Datos!AI19))
     ),IF(J_V="SI",(Datos!K19-Datos!U19)/Datos!U19,(Datos!K19+Datos!AA19-(Datos!U19+Datos!AI19))/(Datos!U19+Datos!AI19))," - ")</f>
        <v>-0.13402061855670103</v>
      </c>
      <c r="E19" s="802">
        <f>IF(ISNUMBER(
   IF(J_V="SI",(Datos!L19-Datos!V19)/Datos!V19,(Datos!L19+Datos!AB19-(Datos!V19+Datos!AJ19))/(Datos!V19+Datos!AJ19))
     ),IF(J_V="SI",(Datos!L19-Datos!V19)/Datos!V19,(Datos!L19+Datos!AB19-(Datos!V19+Datos!AJ19))/(Datos!V19+Datos!AJ19))," - ")</f>
        <v>6.6536203522504889E-2</v>
      </c>
      <c r="F19" s="803">
        <f>IF(ISNUMBER((Datos!M19-Datos!W19)/Datos!W19),(Datos!M19-Datos!W19)/Datos!W19," - ")</f>
        <v>0.14285714285714285</v>
      </c>
      <c r="G19" s="804">
        <f>IF(ISNUMBER((Datos!N19-Datos!X19)/Datos!X19),(Datos!N19-Datos!X19)/Datos!X19," - ")</f>
        <v>-0.13725490196078433</v>
      </c>
      <c r="H19" s="805">
        <f>IF(ISNUMBER((Tasas!B19-Datos!BD19)/Datos!BD19),(Tasas!B19-Datos!BD19)/Datos!BD19," - ")</f>
        <v>-0.14812451727727594</v>
      </c>
      <c r="I19" s="806">
        <f>IF(ISNUMBER((Tasas!C19-Datos!BE19)/Datos!BE19),(Tasas!C19-Datos!BE19)/Datos!BE19," - ")</f>
        <v>0.23159537787717821</v>
      </c>
      <c r="J19" s="807">
        <f>IF(ISNUMBER((Tasas!D19-Datos!BF19)/Datos!BF19),(Tasas!D19-Datos!BF19)/Datos!BF19," - ")</f>
        <v>2.0793650793650791</v>
      </c>
      <c r="K19" s="807">
        <f>IF(ISNUMBER((Tasas!E19-Datos!BG19)/Datos!BG19),(Tasas!E19-Datos!BG19)/Datos!BG19," - ")</f>
        <v>0.14756264101650632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QZJBb+S94X8ZLqZfTZiJBxzaMksrlMA6clUx7wtP/rj1UhnUe6f4JRmSpVaOzhbjC0/JBy2sROvHhxmQ9EADQ==" saltValue="BS6e7zJRdJ8ctkMvB/W0t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LOGROSAN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v>
      </c>
      <c r="C12" s="443">
        <f>IF(ISNUMBER(NºAsuntos!I12/NºAsuntos!G12),NºAsuntos!I12/NºAsuntos!G12," - ")</f>
        <v>2.4217687074829932</v>
      </c>
      <c r="D12" s="444">
        <f>IF(ISNUMBER('Resol  Asuntos'!D12/NºAsuntos!G12),'Resol  Asuntos'!D12/NºAsuntos!G12," - ")</f>
        <v>0.54421768707482998</v>
      </c>
      <c r="E12" s="445">
        <f>IF(ISNUMBER((NºAsuntos!C12+NºAsuntos!E12)/NºAsuntos!G12),(NºAsuntos!C12+NºAsuntos!E12)/NºAsuntos!G12," - ")</f>
        <v>3.4217687074829932</v>
      </c>
      <c r="G12" s="463"/>
    </row>
    <row r="13" spans="1:7" ht="14.25" thickTop="1" thickBot="1">
      <c r="A13" s="848" t="str">
        <f>Datos!A13</f>
        <v>TOTAL</v>
      </c>
      <c r="B13" s="858">
        <f>IF(ISNUMBER(NºAsuntos!G13/NºAsuntos!E13),NºAsuntos!G13/NºAsuntos!E13," - ")</f>
        <v>0.75</v>
      </c>
      <c r="C13" s="859">
        <f>IF(ISNUMBER(NºAsuntos!I13/NºAsuntos!G13),NºAsuntos!I13/NºAsuntos!G13," - ")</f>
        <v>2.4217687074829932</v>
      </c>
      <c r="D13" s="860">
        <f>IF(ISNUMBER('Resol  Asuntos'!D13/NºAsuntos!G13),'Resol  Asuntos'!D13/NºAsuntos!G13," - ")</f>
        <v>0.54421768707482998</v>
      </c>
      <c r="E13" s="861">
        <f>IF(ISNUMBER((NºAsuntos!C13+NºAsuntos!E13)/NºAsuntos!G13),(NºAsuntos!C13+NºAsuntos!E13)/NºAsuntos!G13," - ")</f>
        <v>3.4217687074829932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0.94594594594594594</v>
      </c>
      <c r="C16" s="443">
        <f>IF(ISNUMBER(NºAsuntos!I16/NºAsuntos!G16),NºAsuntos!I16/NºAsuntos!G16," - ")</f>
        <v>1.8</v>
      </c>
      <c r="D16" s="444">
        <f>IF(ISNUMBER('Resol  Asuntos'!D16/NºAsuntos!G16),'Resol  Asuntos'!D16/NºAsuntos!G16," - ")</f>
        <v>0.15238095238095239</v>
      </c>
      <c r="E16" s="445">
        <f>IF(ISNUMBER((NºAsuntos!C16+NºAsuntos!E16)/NºAsuntos!G16),(NºAsuntos!C16+NºAsuntos!E16)/NºAsuntos!G16," - ")</f>
        <v>2.8</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0.94594594594594594</v>
      </c>
      <c r="C18" s="859">
        <f>IF(ISNUMBER(NºAsuntos!I18/NºAsuntos!G18),NºAsuntos!I18/NºAsuntos!G18," - ")</f>
        <v>1.8</v>
      </c>
      <c r="D18" s="862">
        <f>IF(ISNUMBER('Resol  Asuntos'!D18/NºAsuntos!G18),'Resol  Asuntos'!D18/NºAsuntos!G18," - ")</f>
        <v>0.15238095238095239</v>
      </c>
      <c r="E18" s="861">
        <f>IF(ISNUMBER((NºAsuntos!C18+NºAsuntos!E18)/NºAsuntos!G18),(NºAsuntos!C18+NºAsuntos!E18)/NºAsuntos!G18," - ")</f>
        <v>2.8</v>
      </c>
      <c r="G18" s="463"/>
    </row>
    <row r="19" spans="1:7" ht="15.75" customHeight="1" thickTop="1" thickBot="1">
      <c r="A19" s="793" t="str">
        <f>Datos!A19</f>
        <v>TOTAL JURISDICCIONES</v>
      </c>
      <c r="B19" s="808">
        <f>IF(ISNUMBER(NºAsuntos!G19/NºAsuntos!E19),NºAsuntos!G19/NºAsuntos!E19," - ")</f>
        <v>0.82084690553745931</v>
      </c>
      <c r="C19" s="809">
        <f>IF(ISNUMBER(NºAsuntos!I19/NºAsuntos!G19),NºAsuntos!I19/NºAsuntos!G19," - ")</f>
        <v>2.1626984126984126</v>
      </c>
      <c r="D19" s="810">
        <f>IF(ISNUMBER('Resol  Asuntos'!D19/NºAsuntos!G19),'Resol  Asuntos'!D19/NºAsuntos!G19," - ")</f>
        <v>0.38095238095238093</v>
      </c>
      <c r="E19" s="811">
        <f>IF(ISNUMBER((NºAsuntos!C19+NºAsuntos!E19)/NºAsuntos!G19),(NºAsuntos!C19+NºAsuntos!E19)/NºAsuntos!G19," - ")</f>
        <v>3.1626984126984126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oAEuTv68GQB9hhig8zJP7aTUR3h6dPdFaF7zlkJfH3aGnJQHzR5G3BxLZRcNXQo6unLdy/wYeBUfg6IDUq/A==" saltValue="KSgaxbKbVqob5e8ncU3++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LOGROSAN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0</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70</v>
      </c>
      <c r="Y12" s="334">
        <f t="shared" si="0"/>
        <v>70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421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80</v>
      </c>
      <c r="AJ12" s="229" t="str">
        <f>IF(ISNUMBER(Datos!BW12),Datos!BW12," - ")</f>
        <v xml:space="preserve"> - </v>
      </c>
      <c r="AK12" s="228" t="str">
        <f>IF(ISNUMBER(Datos!BX12),Datos!BX12," - ")</f>
        <v xml:space="preserve"> - </v>
      </c>
      <c r="AL12" s="243">
        <f>IF(ISNUMBER(NºAsuntos!G12/NºAsuntos!E12),NºAsuntos!G12/NºAsuntos!E12," - ")</f>
        <v>0.75</v>
      </c>
      <c r="AM12" s="260">
        <f>IF(ISNUMBER(((NºAsuntos!I12/NºAsuntos!G12)*11)/factor_trimestre),((NºAsuntos!I12/NºAsuntos!G12)*11)/factor_trimestre," - ")</f>
        <v>7.2653061224489797</v>
      </c>
      <c r="AN12" s="244">
        <f>IF(ISNUMBER('Resol  Asuntos'!D12/NºAsuntos!G12),'Resol  Asuntos'!D12/NºAsuntos!G12," - ")</f>
        <v>0.54421768707482998</v>
      </c>
      <c r="AO12" s="245">
        <f>IF(ISNUMBER((NºAsuntos!C12+NºAsuntos!E12)/NºAsuntos!G12),(NºAsuntos!C12+NºAsuntos!E12)/NºAsuntos!G12," - ")</f>
        <v>3.4217687074829932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70</v>
      </c>
      <c r="Y13" s="868">
        <f t="shared" si="4"/>
        <v>70</v>
      </c>
      <c r="Z13" s="868">
        <f t="shared" si="4"/>
        <v>0</v>
      </c>
      <c r="AA13" s="868">
        <f t="shared" si="4"/>
        <v>0</v>
      </c>
      <c r="AB13" s="868">
        <f t="shared" si="4"/>
        <v>421</v>
      </c>
      <c r="AC13" s="868">
        <f t="shared" si="4"/>
        <v>0</v>
      </c>
      <c r="AD13" s="868">
        <f t="shared" si="4"/>
        <v>0</v>
      </c>
      <c r="AE13" s="872">
        <f t="shared" si="4"/>
        <v>0</v>
      </c>
      <c r="AF13" s="865">
        <f t="shared" si="4"/>
        <v>0</v>
      </c>
      <c r="AG13" s="873">
        <f t="shared" si="4"/>
        <v>0</v>
      </c>
      <c r="AH13" s="870">
        <f t="shared" si="4"/>
        <v>0</v>
      </c>
      <c r="AI13" s="865">
        <f t="shared" si="4"/>
        <v>80</v>
      </c>
      <c r="AJ13" s="867">
        <f t="shared" si="4"/>
        <v>0</v>
      </c>
      <c r="AK13" s="870">
        <f>SUBTOTAL(9,AK9:AK12)</f>
        <v>0</v>
      </c>
      <c r="AL13" s="874">
        <f>IF(ISNUMBER(NºAsuntos!G13/NºAsuntos!E13),NºAsuntos!G13/NºAsuntos!E13," - ")</f>
        <v>0.75</v>
      </c>
      <c r="AM13" s="874">
        <f>IF(ISNUMBER(((NºAsuntos!I13/NºAsuntos!G13)*11)/factor_trimestre),((NºAsuntos!I13/NºAsuntos!G13)*11)/factor_trimestre," - ")</f>
        <v>7.2653061224489797</v>
      </c>
      <c r="AN13" s="875">
        <f>IF(ISNUMBER('Resol  Asuntos'!D13/NºAsuntos!G13),'Resol  Asuntos'!D13/NºAsuntos!G13," - ")</f>
        <v>0.54421768707482998</v>
      </c>
      <c r="AO13" s="876">
        <f>IF(ISNUMBER((NºAsuntos!C13+NºAsuntos!E13)/NºAsuntos!G13),(NºAsuntos!C13+NºAsuntos!E13)/NºAsuntos!G13," - ")</f>
        <v>3.4217687074829932</v>
      </c>
      <c r="AP13" s="877" t="str">
        <f t="shared" si="2"/>
        <v xml:space="preserve"> - </v>
      </c>
      <c r="AQ13" s="877" t="str">
        <f>IF(ISNUMBER((H13-W13+K13)/(F13)),(H13-W13+K13)/(F13)," - ")</f>
        <v xml:space="preserve"> - </v>
      </c>
      <c r="AR13" s="878">
        <f>IF(ISNUMBER((Datos!P13-Datos!Q13)/(Datos!R13-Datos!P13+Datos!Q13)),(Datos!P13-Datos!Q13)/(Datos!R13-Datos!P13+Datos!Q13)," - ")</f>
        <v>-5.3932584269662923E-2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183</v>
      </c>
      <c r="G16" s="333">
        <f>IF(ISNUMBER(IF(D_I="SI",Datos!I16,Datos!I16+Datos!AC16)),IF(D_I="SI",Datos!I16,Datos!I16+Datos!AC16)," - ")</f>
        <v>183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105</v>
      </c>
      <c r="X16" s="226">
        <f>IF(ISNUMBER(Datos!Q16),Datos!Q16," - ")</f>
        <v>6</v>
      </c>
      <c r="Y16" s="334">
        <f t="shared" ref="Y16:Y17" si="7">SUM(W16:X16)</f>
        <v>111</v>
      </c>
      <c r="Z16" s="335" t="str">
        <f>IF(ISNUMBER(Datos!CC16),Datos!CC16," - ")</f>
        <v xml:space="preserve"> - </v>
      </c>
      <c r="AA16" s="332">
        <f>IF(ISNUMBER(IF(D_I="SI",Datos!L16,Datos!L16+Datos!AF16)),IF(D_I="SI",Datos!L16,Datos!L16+Datos!AF16)," - ")</f>
        <v>189</v>
      </c>
      <c r="AB16" s="334">
        <f>IF(ISNUMBER(Datos!R16),Datos!R16," - ")</f>
        <v>22</v>
      </c>
      <c r="AC16" s="334">
        <f t="shared" si="6"/>
        <v>211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v>
      </c>
      <c r="AJ16" s="231" t="str">
        <f>IF(ISNUMBER(Datos!BW16),Datos!BW16," - ")</f>
        <v xml:space="preserve"> - </v>
      </c>
      <c r="AK16" s="232" t="str">
        <f>IF(ISNUMBER(Datos!BX16),Datos!BX16," - ")</f>
        <v xml:space="preserve"> - </v>
      </c>
      <c r="AL16" s="243">
        <f>IF(ISNUMBER(NºAsuntos!G16/NºAsuntos!E16),NºAsuntos!G16/NºAsuntos!E16," - ")</f>
        <v>0.94594594594594594</v>
      </c>
      <c r="AM16" s="260">
        <f>IF(ISNUMBER(((NºAsuntos!I16/NºAsuntos!G16)*11)/factor_trimestre),((NºAsuntos!I16/NºAsuntos!G16)*11)/factor_trimestre," - ")</f>
        <v>5.4</v>
      </c>
      <c r="AN16" s="244">
        <f>IF(ISNUMBER('Resol  Asuntos'!D16/NºAsuntos!G16),'Resol  Asuntos'!D16/NºAsuntos!G16," - ")</f>
        <v>0.15238095238095239</v>
      </c>
      <c r="AO16" s="245">
        <f>IF(ISNUMBER((NºAsuntos!C16+NºAsuntos!E16)/NºAsuntos!G16),(NºAsuntos!C16+NºAsuntos!E16)/NºAsuntos!G16," - ")</f>
        <v>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0</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0</v>
      </c>
      <c r="AB17" s="334">
        <f>IF(ISNUMBER(Datos!R17),Datos!R17," - ")</f>
        <v>0</v>
      </c>
      <c r="AC17" s="334">
        <f t="shared" si="6"/>
        <v>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183</v>
      </c>
      <c r="G18" s="866">
        <f>SUBTOTAL(9,G15:G17)</f>
        <v>183</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105</v>
      </c>
      <c r="X18" s="867">
        <f t="shared" si="11"/>
        <v>6</v>
      </c>
      <c r="Y18" s="868">
        <f t="shared" si="11"/>
        <v>111</v>
      </c>
      <c r="Z18" s="868">
        <f t="shared" si="11"/>
        <v>0</v>
      </c>
      <c r="AA18" s="868">
        <f t="shared" si="11"/>
        <v>189</v>
      </c>
      <c r="AB18" s="868">
        <f t="shared" si="11"/>
        <v>22</v>
      </c>
      <c r="AC18" s="868">
        <f t="shared" si="11"/>
        <v>211</v>
      </c>
      <c r="AD18" s="868">
        <f t="shared" si="11"/>
        <v>0</v>
      </c>
      <c r="AE18" s="872">
        <f t="shared" si="11"/>
        <v>0</v>
      </c>
      <c r="AF18" s="865">
        <f t="shared" si="11"/>
        <v>0</v>
      </c>
      <c r="AG18" s="873">
        <f t="shared" si="11"/>
        <v>0</v>
      </c>
      <c r="AH18" s="870">
        <f t="shared" si="11"/>
        <v>0</v>
      </c>
      <c r="AI18" s="865">
        <f t="shared" si="11"/>
        <v>16</v>
      </c>
      <c r="AJ18" s="867">
        <f t="shared" si="11"/>
        <v>0</v>
      </c>
      <c r="AK18" s="870">
        <f t="shared" si="11"/>
        <v>0</v>
      </c>
      <c r="AL18" s="874">
        <f>IF(ISNUMBER(NºAsuntos!G18/NºAsuntos!E18),NºAsuntos!G18/NºAsuntos!E18," - ")</f>
        <v>0.94594594594594594</v>
      </c>
      <c r="AM18" s="874">
        <f>IF(ISNUMBER(((NºAsuntos!I18/NºAsuntos!G18)*11)/factor_trimestre),((NºAsuntos!I18/NºAsuntos!G18)*11)/factor_trimestre," - ")</f>
        <v>5.4</v>
      </c>
      <c r="AN18" s="875">
        <f>IF(ISNUMBER('Resol  Asuntos'!D18/NºAsuntos!G18),'Resol  Asuntos'!D18/NºAsuntos!G18," - ")</f>
        <v>0.15238095238095239</v>
      </c>
      <c r="AO18" s="876">
        <f>IF(ISNUMBER((NºAsuntos!C18+NºAsuntos!E18)/NºAsuntos!G18),(NºAsuntos!C18+NºAsuntos!E18)/NºAsuntos!G18," - ")</f>
        <v>2.8</v>
      </c>
      <c r="AP18" s="877" t="str">
        <f t="shared" si="2"/>
        <v xml:space="preserve"> - </v>
      </c>
      <c r="AQ18" s="877">
        <f>IF(ISNUMBER((H18-W18+K18)/(F18)),(H18-W18+K18)/(F18)," - ")</f>
        <v>-0.57377049180327866</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183</v>
      </c>
      <c r="G19" s="821">
        <f t="shared" si="13"/>
        <v>183</v>
      </c>
      <c r="H19" s="820">
        <f t="shared" si="13"/>
        <v>0</v>
      </c>
      <c r="I19" s="822">
        <f t="shared" si="13"/>
        <v>0</v>
      </c>
      <c r="J19" s="822">
        <f t="shared" si="13"/>
        <v>0</v>
      </c>
      <c r="K19" s="881">
        <f t="shared" si="13"/>
        <v>0</v>
      </c>
      <c r="L19" s="822">
        <f t="shared" si="13"/>
        <v>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105</v>
      </c>
      <c r="X19" s="821">
        <f t="shared" si="14"/>
        <v>76</v>
      </c>
      <c r="Y19" s="828">
        <f t="shared" si="14"/>
        <v>181</v>
      </c>
      <c r="Z19" s="828">
        <f t="shared" si="14"/>
        <v>0</v>
      </c>
      <c r="AA19" s="828">
        <f t="shared" si="14"/>
        <v>189</v>
      </c>
      <c r="AB19" s="828">
        <f t="shared" si="14"/>
        <v>443</v>
      </c>
      <c r="AC19" s="828">
        <f t="shared" si="14"/>
        <v>211</v>
      </c>
      <c r="AD19" s="828">
        <f t="shared" si="14"/>
        <v>0</v>
      </c>
      <c r="AE19" s="830">
        <f t="shared" si="14"/>
        <v>0</v>
      </c>
      <c r="AF19" s="831">
        <f t="shared" si="14"/>
        <v>0</v>
      </c>
      <c r="AG19" s="832">
        <f t="shared" si="14"/>
        <v>0</v>
      </c>
      <c r="AH19" s="830">
        <f t="shared" si="14"/>
        <v>0</v>
      </c>
      <c r="AI19" s="820">
        <f t="shared" si="14"/>
        <v>96</v>
      </c>
      <c r="AJ19" s="820">
        <f t="shared" si="14"/>
        <v>0</v>
      </c>
      <c r="AK19" s="830">
        <f t="shared" si="14"/>
        <v>0</v>
      </c>
      <c r="AL19" s="884">
        <f>IF(ISNUMBER(NºAsuntos!G19/NºAsuntos!E19),NºAsuntos!G19/NºAsuntos!E19," - ")</f>
        <v>0.82084690553745931</v>
      </c>
      <c r="AM19" s="885">
        <f>IF(ISNUMBER(((NºAsuntos!I19/NºAsuntos!G19)*11)/factor_trimestre),((NºAsuntos!I19/NºAsuntos!G19)*11)/factor_trimestre," - ")</f>
        <v>6.4880952380952381</v>
      </c>
      <c r="AN19" s="885">
        <f>IF(ISNUMBER('Resol  Asuntos'!D19/NºAsuntos!G19),'Resol  Asuntos'!D19/NºAsuntos!G19," - ")</f>
        <v>0.38095238095238093</v>
      </c>
      <c r="AO19" s="886">
        <f>IF(ISNUMBER((NºAsuntos!C19+NºAsuntos!E19)/NºAsuntos!G19),(NºAsuntos!C19+NºAsuntos!E19)/NºAsuntos!G19," - ")</f>
        <v>3.1626984126984126</v>
      </c>
      <c r="AP19" s="887" t="str">
        <f t="shared" si="2"/>
        <v xml:space="preserve"> - </v>
      </c>
      <c r="AQ19" s="888">
        <f>IF(OR(ISNUMBER(FIND("01",Criterios!A8,1)),ISNUMBER(FIND("02",Criterios!A8,1)),ISNUMBER(FIND("03",Criterios!A8,1)),ISNUMBER(FIND("04",Criterios!A8,1))),(I19-W19+K19)/(F19-K19),(H19-W19+K19)/(F19-K19))</f>
        <v>-0.57377049180327866</v>
      </c>
      <c r="AR19" s="889">
        <f>IF(ISNUMBER((Datos!P19-Datos!Q19)/(Datos!R19-Datos!P19+Datos!Q19)),(Datos!P19-Datos!Q19)/(Datos!R19-Datos!P19+Datos!Q19)," - ")</f>
        <v>-5.1391862955032119E-2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105.65509926170151</v>
      </c>
      <c r="G21" s="253">
        <f>IF(ISNUMBER(STDEV(G8:G18)),STDEV(G8:G18),"-")</f>
        <v>100.23322802344541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57.510868538042445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37.862910611837542</v>
      </c>
      <c r="AJ21" s="252">
        <f t="shared" si="18"/>
        <v>0</v>
      </c>
      <c r="AK21" s="254">
        <f t="shared" si="18"/>
        <v>0</v>
      </c>
      <c r="AL21" s="249">
        <f t="shared" si="18"/>
        <v>0.11312944463850735</v>
      </c>
      <c r="AM21" s="250">
        <f t="shared" si="18"/>
        <v>1.0769349919169802</v>
      </c>
      <c r="AN21" s="250">
        <f t="shared" si="18"/>
        <v>0.22622704425389428</v>
      </c>
      <c r="AO21" s="251">
        <f t="shared" si="18"/>
        <v>0.35897833063899193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jIhT3LurRp20k9GmBwj6kME4xw6402dpf90oIT4ybXO7DszDdJQ0aEmzDA5Oo9m+ROoPI8kLxlS+ZfCvJdosWQ==" saltValue="wtEXfztM0zJv0DG65AOiT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LOGROSAN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0.31147540983606559</v>
      </c>
      <c r="I12" s="350">
        <f>IF(ISNUMBER((Tasas!C12-Datos!BE12)/Datos!BE12),(Tasas!C12-Datos!BE12)/Datos!BE12," - ")</f>
        <v>0.36633572347858062</v>
      </c>
      <c r="J12" s="349">
        <f>IF(ISNUMBER((Tasas!D12-Datos!BF12)/Datos!BF12),(Tasas!D12-Datos!BF12)/Datos!BF12," - ")</f>
        <v>5.9911041339612776</v>
      </c>
      <c r="K12" s="351">
        <f>IF(ISNUMBER((Tasas!E12-Datos!BG12)/Datos!BG12),(Tasas!E12-Datos!BG12)/Datos!BG12," - ")</f>
        <v>0.23420167202950287</v>
      </c>
      <c r="M12" t="e">
        <f>IF(Monitorios="SI",Datos!CE12,0)</f>
        <v>#REF!</v>
      </c>
      <c r="N12" t="e">
        <f>IF(Monitorios="SI",Datos!CF12,0)</f>
        <v>#REF!</v>
      </c>
      <c r="O12" t="e">
        <f>IF(Monitorios="SI",Datos!CG12,0)</f>
        <v>#REF!</v>
      </c>
      <c r="P12" t="e">
        <f>IF(Monitorios="SI",Datos!CH12,0)</f>
        <v>#REF!</v>
      </c>
      <c r="Q12">
        <f>IF(J_V="SI",0,Datos!AG12)</f>
        <v>20</v>
      </c>
      <c r="R12">
        <f>IF(J_V="SI",0,Datos!AH12)</f>
        <v>5</v>
      </c>
      <c r="S12">
        <f>IF(J_V="SI",0,Datos!AI12)</f>
        <v>10</v>
      </c>
      <c r="T12">
        <f>IF(J_V="SI",0,Datos!AJ12)</f>
        <v>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0.31147540983606559</v>
      </c>
      <c r="I13" s="357">
        <f>IF(ISNUMBER((Tasas!C13-Datos!BE13)/Datos!BE13),(Tasas!C13-Datos!BE13)/Datos!BE13," - ")</f>
        <v>0.36173526649717136</v>
      </c>
      <c r="J13" s="355">
        <f>IF(ISNUMBER((Tasas!D13-Datos!BF13)/Datos!BF13),(Tasas!D13-Datos!BF13)/Datos!BF13," - ")</f>
        <v>5.9911041339612776</v>
      </c>
      <c r="K13" s="358">
        <f>IF(ISNUMBER((Tasas!E13-Datos!BG13)/Datos!BG13),(Tasas!E13-Datos!BG13)/Datos!BG13," - ")</f>
        <v>0.23154175463288759</v>
      </c>
      <c r="M13" t="e">
        <f>IF(Monitorios="SI",Datos!CE13,0)</f>
        <v>#REF!</v>
      </c>
      <c r="N13" t="e">
        <f>IF(Monitorios="SI",Datos!CF13,0)</f>
        <v>#REF!</v>
      </c>
      <c r="O13" t="e">
        <f>IF(Monitorios="SI",Datos!CG13,0)</f>
        <v>#REF!</v>
      </c>
      <c r="P13" t="e">
        <f>IF(Monitorios="SI",Datos!CH13,0)</f>
        <v>#REF!</v>
      </c>
      <c r="Q13">
        <f>IF(J_V="SI",0,Datos!AG13)</f>
        <v>20</v>
      </c>
      <c r="R13">
        <f>IF(J_V="SI",0,Datos!AH13)</f>
        <v>5</v>
      </c>
      <c r="S13">
        <f>IF(J_V="SI",0,Datos!AI13)</f>
        <v>10</v>
      </c>
      <c r="T13">
        <f>IF(J_V="SI",0,Datos!AJ13)</f>
        <v>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-0.15277777777777779</v>
      </c>
      <c r="E16" s="348">
        <f>IF(ISNUMBER(
   IF(D_I="SI",(Datos!J16-Datos!T16)/Datos!T16,(Datos!J16+Datos!AD16-(Datos!T16+Datos!AL16))/(Datos!T16+Datos!AL16))
     ),IF(D_I="SI",(Datos!J16-Datos!T16)/Datos!T16,(Datos!J16+Datos!AD16-(Datos!T16+Datos!AL16))/(Datos!T16+Datos!AL16))," - ")</f>
        <v>-5.9322033898305086E-2</v>
      </c>
      <c r="F16" s="348">
        <f>IF(ISNUMBER(
   IF(D_I="SI",(Datos!K16-Datos!U16)/Datos!U16,(Datos!K16+Datos!AE16-(Datos!U16+Datos!AM16))/(Datos!U16+Datos!AM16))
     ),IF(D_I="SI",(Datos!K16-Datos!U16)/Datos!U16,(Datos!K16+Datos!AE16-(Datos!U16+Datos!AM16))/(Datos!U16+Datos!AM16))," - ")</f>
        <v>-0.15322580645161291</v>
      </c>
      <c r="G16" s="349">
        <f>IF(ISNUMBER(
   IF(D_I="SI",(Datos!L16-Datos!V16)/Datos!V16,(Datos!L16+Datos!AF16-(Datos!V16+Datos!AN16))/(Datos!V16+Datos!AN16))
     ),IF(D_I="SI",(Datos!L16-Datos!V16)/Datos!V16,(Datos!L16+Datos!AF16-(Datos!V16+Datos!AN16))/(Datos!V16+Datos!AN16))," - ")</f>
        <v>-0.1</v>
      </c>
      <c r="H16" s="230">
        <f>IF(ISNUMBER((Datos!M16-Datos!W16)/Datos!W16),(Datos!M16-Datos!W16)/Datos!W16," - ")</f>
        <v>-0.30434782608695654</v>
      </c>
      <c r="I16" s="350">
        <f>IF(ISNUMBER((Tasas!C16-Datos!BE16)/Datos!BE16),(Tasas!C16-Datos!BE16)/Datos!BE16," - ")</f>
        <v>6.2857142857142848E-2</v>
      </c>
      <c r="J16" s="349">
        <f>IF(ISNUMBER((Tasas!D16-Datos!BF16)/Datos!BF16),(Tasas!D16-Datos!BF16)/Datos!BF16," - ")</f>
        <v>-0.17846790890269146</v>
      </c>
      <c r="K16" s="351">
        <f>IF(ISNUMBER((Tasas!E16-Datos!BG16)/Datos!BG16),(Tasas!E16-Datos!BG16)/Datos!BG16," - ")</f>
        <v>3.9520958083832339E-2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t="str">
        <f>IF(ISNUMBER(
   IF(D_I="SI",(Datos!J17-Datos!T17)/Datos!T17,(Datos!J17+Datos!AD17-(Datos!T17+Datos!AL17))/(Datos!T17+Datos!AL17))
     ),IF(D_I="SI",(Datos!J17-Datos!T17)/Datos!T17,(Datos!J17+Datos!AD17-(Datos!T17+Datos!AL17))/(Datos!T17+Datos!AL17))," - ")</f>
        <v xml:space="preserve"> - </v>
      </c>
      <c r="F17" s="348" t="str">
        <f>IF(ISNUMBER(
   IF(D_I="SI",(Datos!K17-Datos!U17)/Datos!U17,(Datos!K17+Datos!AE17-(Datos!U17+Datos!AM17))/(Datos!U17+Datos!AM17))
     ),IF(D_I="SI",(Datos!K17-Datos!U17)/Datos!U17,(Datos!K17+Datos!AE17-(Datos!U17+Datos!AM17))/(Datos!U17+Datos!AM17))," - ")</f>
        <v xml:space="preserve"> - </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-0.16818181818181818</v>
      </c>
      <c r="E18" s="354">
        <f>IF(ISNUMBER(
   IF(D_I="SI",(Datos!J18-Datos!T18)/Datos!T18,(Datos!J18+Datos!AD18-(Datos!T18+Datos!AL18))/(Datos!T18+Datos!AL18))
     ),IF(D_I="SI",(Datos!J18-Datos!T18)/Datos!T18,(Datos!J18+Datos!AD18-(Datos!T18+Datos!AL18))/(Datos!T18+Datos!AL18))," - ")</f>
        <v>-5.9322033898305086E-2</v>
      </c>
      <c r="F18" s="354">
        <f>IF(ISNUMBER(
   IF(D_I="SI",(Datos!K18-Datos!U18)/Datos!U18,(Datos!K18+Datos!AE18-(Datos!U18+Datos!AM18))/(Datos!U18+Datos!AM18))
     ),IF(D_I="SI",(Datos!K18-Datos!U18)/Datos!U18,(Datos!K18+Datos!AE18-(Datos!U18+Datos!AM18))/(Datos!U18+Datos!AM18))," - ")</f>
        <v>-0.15322580645161291</v>
      </c>
      <c r="G18" s="355">
        <f>IF(ISNUMBER(
   IF(D_I="SI",(Datos!L18-Datos!V18)/Datos!V18,(Datos!L18+Datos!AF18-(Datos!V18+Datos!AN18))/(Datos!V18+Datos!AN18))
     ),IF(D_I="SI",(Datos!L18-Datos!V18)/Datos!V18,(Datos!L18+Datos!AF18-(Datos!V18+Datos!AN18))/(Datos!V18+Datos!AN18))," - ")</f>
        <v>-0.11682242990654206</v>
      </c>
      <c r="H18" s="356">
        <f>IF(ISNUMBER((Datos!M18-Datos!W18)/Datos!W18),(Datos!M18-Datos!W18)/Datos!W18," - ")</f>
        <v>-0.30434782608695654</v>
      </c>
      <c r="I18" s="357">
        <f>IF(ISNUMBER((Tasas!C18-Datos!BE18)/Datos!BE18),(Tasas!C18-Datos!BE18)/Datos!BE18," - ")</f>
        <v>4.2990654205607493E-2</v>
      </c>
      <c r="J18" s="355">
        <f>IF(ISNUMBER((Tasas!D18-Datos!BF18)/Datos!BF18),(Tasas!D18-Datos!BF18)/Datos!BF18," - ")</f>
        <v>-0.17846790890269146</v>
      </c>
      <c r="K18" s="358">
        <f>IF(ISNUMBER((Tasas!E18-Datos!BG18)/Datos!BG18),(Tasas!E18-Datos!BG18)/Datos!BG18," - ")</f>
        <v>2.7218934911242613E-2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-0.02</v>
      </c>
      <c r="E19" s="363">
        <f>IF(ISNUMBER(
   IF(J_V="SI",(Datos!J19-Datos!T19)/Datos!T19,(Datos!J19+Datos!Z19-(Datos!T19+Datos!AH19))/(Datos!T19+Datos!AH19))
     ),IF(J_V="SI",(Datos!J19-Datos!T19)/Datos!T19,(Datos!J19+Datos!Z19-(Datos!T19+Datos!AH19))/(Datos!T19+Datos!AH19))," - ")</f>
        <v>1.6556291390728478E-2</v>
      </c>
      <c r="F19" s="363">
        <f>IF(ISNUMBER(
   IF(J_V="SI",(Datos!K19-Datos!U19)/Datos!U19,(Datos!K19+Datos!AA19-(Datos!U19+Datos!AI19))/(Datos!U19+Datos!AI19))
     ),IF(J_V="SI",(Datos!K19-Datos!U19)/Datos!U19,(Datos!K19+Datos!AA19-(Datos!U19+Datos!AI19))/(Datos!U19+Datos!AI19))," - ")</f>
        <v>-0.13402061855670103</v>
      </c>
      <c r="G19" s="364">
        <f>IF(ISNUMBER(
   IF(J_V="SI",(Datos!L19-Datos!V19)/Datos!V19,(Datos!L19+Datos!AB19-(Datos!V19+Datos!AJ19))/(Datos!V19+Datos!AJ19))
     ),IF(J_V="SI",(Datos!L19-Datos!V19)/Datos!V19,(Datos!L19+Datos!AB19-(Datos!V19+Datos!AJ19))/(Datos!V19+Datos!AJ19))," - ")</f>
        <v>6.6536203522504889E-2</v>
      </c>
      <c r="H19" s="365">
        <f>IF(ISNUMBER((Datos!M19-Datos!W19)/Datos!W19),(Datos!M19-Datos!W19)/Datos!W19," - ")</f>
        <v>0.14285714285714285</v>
      </c>
      <c r="I19" s="362">
        <f>IF(ISNUMBER((Tasas!C19-Datos!BE19)/Datos!BE19),(Tasas!C19-Datos!BE19)/Datos!BE19," - ")</f>
        <v>0.23159537787717821</v>
      </c>
      <c r="J19" s="363">
        <f>IF(ISNUMBER((Tasas!D19-Datos!BF19)/Datos!BF19),(Tasas!D19-Datos!BF19)/Datos!BF19," - ")</f>
        <v>2.0793650793650791</v>
      </c>
      <c r="K19" s="364">
        <f>IF(ISNUMBER((Tasas!E19-Datos!BG19)/Datos!BG19),(Tasas!E19-Datos!BG19)/Datos!BG19," - ")</f>
        <v>0.14756264101650632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0.48473800890461283</v>
      </c>
      <c r="E21" s="278">
        <f t="shared" si="1"/>
        <v>0</v>
      </c>
      <c r="F21" s="278">
        <f t="shared" si="1"/>
        <v>0</v>
      </c>
      <c r="G21" s="279">
        <f t="shared" si="1"/>
        <v>0.51480483638465113</v>
      </c>
      <c r="H21" s="285">
        <f t="shared" si="1"/>
        <v>0.35554571103338323</v>
      </c>
      <c r="I21" s="277">
        <f t="shared" si="1"/>
        <v>0.17981318661099568</v>
      </c>
      <c r="J21" s="278">
        <f t="shared" si="1"/>
        <v>3.5620040797323025</v>
      </c>
      <c r="K21" s="279">
        <f t="shared" si="1"/>
        <v>0.11529695346813378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Ax+4mCZJ37l63Qy5kwFFFp1arJLgvHmSxGN1MNAPdGTEzB9j8WCFexlP4/xs9E7sCQkgR1sJ58J3Rendmoftg==" saltValue="E2ylnOdYx/0BoB0tx3EB0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0</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26.639455782312925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183</v>
      </c>
      <c r="D16" s="225">
        <f>IF(ISNUMBER(IF(D_I="SI",Datos!I16,Datos!I16+Datos!AC16)),IF(D_I="SI",Datos!I16,Datos!I16+Datos!AC16)," - ")</f>
        <v>183</v>
      </c>
      <c r="E16" s="226">
        <f>IF(ISNUMBER(IF(D_I="SI",Datos!J16,Datos!J16+Datos!AD16)),IF(D_I="SI",Datos!J16,Datos!J16+Datos!AD16)," - ")</f>
        <v>111</v>
      </c>
      <c r="F16" s="226">
        <f>IF(ISNUMBER(IF(D_I="SI",Datos!K16,Datos!K16+Datos!AE16)),IF(D_I="SI",Datos!K16,Datos!K16+Datos!AE16)," - ")</f>
        <v>105</v>
      </c>
      <c r="G16" s="1034" t="str">
        <f>IF(Datos!E16&lt;&gt;"",Datos!E16,Datos!D16)</f>
        <v>04</v>
      </c>
      <c r="H16" s="227">
        <f>IF(ISNUMBER(IF(D_I="SI",Datos!L16,Datos!L16+Datos!AF16)),IF(D_I="SI",Datos!L16,Datos!L16+Datos!AF16)," - ")</f>
        <v>189</v>
      </c>
      <c r="I16" s="1044" t="str">
        <f>IF(ISNUMBER(Datos!AS16/Datos!BM16),Datos!AS16/Datos!BM16," - ")</f>
        <v xml:space="preserve"> - </v>
      </c>
      <c r="J16" s="1045">
        <f>IF(ISNUMBER(Datos!BY16/Datos!CN16),Datos!BY16/Datos!CN16," - ")</f>
        <v>0</v>
      </c>
      <c r="K16" s="230">
        <f t="shared" si="3"/>
        <v>3.2786885245901641E-2</v>
      </c>
      <c r="L16" s="1025">
        <f>IF(ISNUMBER(NºAsuntos!I16/NºAsuntos!G16),(NºAsuntos!I16/NºAsuntos!G16)*11," - ")</f>
        <v>19.8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0</v>
      </c>
      <c r="B17" s="502" t="str">
        <f>Datos!A17</f>
        <v>Jdos. Violencia contra la mujer</v>
      </c>
      <c r="C17" s="225">
        <f t="shared" si="2"/>
        <v>0</v>
      </c>
      <c r="D17" s="225">
        <f>IF(ISNUMBER(IF(D_I="SI",Datos!I17,Datos!I17+Datos!AC17)),IF(D_I="SI",Datos!I17,Datos!I17+Datos!AC17)," - ")</f>
        <v>0</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0</v>
      </c>
      <c r="I17" s="1044" t="str">
        <f>IF(ISNUMBER(Datos!AS17/Datos!BM17),Datos!AS17/Datos!BM17," - ")</f>
        <v xml:space="preserve"> - </v>
      </c>
      <c r="J17" s="1045" t="str">
        <f>IF(ISNUMBER((Datos!BY17+Datos!BZ17)/Datos!CN17),(Datos!BY17+Datos!BZ17)/Datos!CN17," - ")</f>
        <v xml:space="preserve"> - </v>
      </c>
      <c r="K17" s="230" t="str">
        <f t="shared" si="3"/>
        <v xml:space="preserve"> - </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183</v>
      </c>
      <c r="D18" s="1049">
        <f>SUBTOTAL(9,D15:D17)</f>
        <v>183</v>
      </c>
      <c r="E18" s="1050">
        <f>SUBTOTAL(9,E15:E17)</f>
        <v>111</v>
      </c>
      <c r="F18" s="1050">
        <f>SUBTOTAL(9,F15:F17)</f>
        <v>105</v>
      </c>
      <c r="G18" s="1052" t="str">
        <f ca="1">INDIRECT(CONCATENATE("G",ROW()-1))</f>
        <v>37</v>
      </c>
      <c r="H18" s="1053">
        <f ca="1">SUMIF(G$14:G17,G18,H$14:H17)</f>
        <v>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183</v>
      </c>
      <c r="D19" s="1071">
        <f>SUBTOTAL(9,D9:D18)</f>
        <v>183</v>
      </c>
      <c r="E19" s="1072">
        <f>SUBTOTAL(9,E9:E18)</f>
        <v>111</v>
      </c>
      <c r="F19" s="1072">
        <f>SUBTOTAL(9,F9:F18)</f>
        <v>105</v>
      </c>
      <c r="G19" s="1073"/>
      <c r="H19" s="1074">
        <f ca="1">SUMIF(B9:B18,"TOTAL",H9:H18)</f>
        <v>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shBDo5j7o4GLkMPytQGIjtxDAQXDw4/Qk0f+Y16BrGhf+kUi+PycF7sTLNg7wMsdDnRCeDO7uKamfXjRyQ1GWQ==" saltValue="pS9Rrpzh6ZSPUOoBbeODA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mpDicHftJv73SYiiXqK3gDARrV7ma9FXHpq8WN3ZVC/TBr+6/bmXFvt1ZkRXdVOV7Dp+V+4jcsx+qhLhviu7w==" saltValue="PK8gc8YRJ12R+Job+BKw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0</v>
      </c>
      <c r="AP10" s="155">
        <v>0</v>
      </c>
      <c r="AQ10" s="154">
        <v>0</v>
      </c>
      <c r="AR10" s="155">
        <v>0</v>
      </c>
      <c r="AS10" s="339" t="s">
        <v>792</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305</v>
      </c>
      <c r="J12" s="183">
        <v>194</v>
      </c>
      <c r="K12" s="183">
        <v>144</v>
      </c>
      <c r="L12" s="183">
        <v>355</v>
      </c>
      <c r="M12" s="183">
        <v>80</v>
      </c>
      <c r="N12" s="183">
        <v>24</v>
      </c>
      <c r="O12" s="181">
        <v>62</v>
      </c>
      <c r="P12" s="183">
        <v>46</v>
      </c>
      <c r="Q12" s="183">
        <v>70</v>
      </c>
      <c r="R12" s="183">
        <v>421</v>
      </c>
      <c r="S12" s="183">
        <v>259</v>
      </c>
      <c r="T12" s="183">
        <v>179</v>
      </c>
      <c r="U12" s="183">
        <v>157</v>
      </c>
      <c r="V12" s="183">
        <v>281</v>
      </c>
      <c r="W12" s="183">
        <v>61</v>
      </c>
      <c r="X12" s="189">
        <v>13</v>
      </c>
      <c r="Y12" s="191">
        <v>2</v>
      </c>
      <c r="Z12" s="181">
        <v>2</v>
      </c>
      <c r="AA12" s="181">
        <v>3</v>
      </c>
      <c r="AB12" s="181">
        <v>1</v>
      </c>
      <c r="AC12" s="183">
        <v>0</v>
      </c>
      <c r="AD12" s="183">
        <v>0</v>
      </c>
      <c r="AE12" s="183">
        <v>0</v>
      </c>
      <c r="AF12" s="189">
        <v>0</v>
      </c>
      <c r="AG12" s="202">
        <v>20</v>
      </c>
      <c r="AH12" s="183">
        <v>5</v>
      </c>
      <c r="AI12" s="183">
        <v>10</v>
      </c>
      <c r="AJ12" s="203">
        <v>15</v>
      </c>
      <c r="AK12" s="182">
        <v>0</v>
      </c>
      <c r="AL12" s="183">
        <v>0</v>
      </c>
      <c r="AM12" s="183">
        <v>0</v>
      </c>
      <c r="AN12" s="189">
        <v>0</v>
      </c>
      <c r="AO12" s="259">
        <v>1</v>
      </c>
      <c r="AP12" s="155">
        <v>1</v>
      </c>
      <c r="AQ12" s="155">
        <v>1</v>
      </c>
      <c r="AR12" s="154">
        <v>1</v>
      </c>
      <c r="AS12" s="340" t="s">
        <v>801</v>
      </c>
      <c r="AT12" s="203"/>
      <c r="AU12" s="202"/>
      <c r="AV12" s="203"/>
      <c r="AW12" s="202"/>
      <c r="AX12" s="203"/>
      <c r="AY12" s="126">
        <f t="shared" si="1"/>
        <v>279</v>
      </c>
      <c r="AZ12" s="127">
        <f t="shared" si="1"/>
        <v>184</v>
      </c>
      <c r="BA12" s="127">
        <f t="shared" si="1"/>
        <v>167</v>
      </c>
      <c r="BB12" s="127">
        <f t="shared" si="1"/>
        <v>296</v>
      </c>
      <c r="BC12" s="125">
        <f>IF(ISNUMBER(X12),X12," - ")</f>
        <v>13</v>
      </c>
      <c r="BD12" s="126">
        <f t="shared" si="2"/>
        <v>0.90760869565217395</v>
      </c>
      <c r="BE12" s="127">
        <f t="shared" si="3"/>
        <v>1.7724550898203593</v>
      </c>
      <c r="BF12" s="127">
        <f t="shared" si="4"/>
        <v>7.7844311377245512E-2</v>
      </c>
      <c r="BG12" s="196">
        <f t="shared" si="5"/>
        <v>2.7724550898203595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305</v>
      </c>
      <c r="J13" s="184">
        <f t="shared" si="6"/>
        <v>194</v>
      </c>
      <c r="K13" s="184">
        <f t="shared" si="6"/>
        <v>144</v>
      </c>
      <c r="L13" s="184">
        <f t="shared" si="6"/>
        <v>355</v>
      </c>
      <c r="M13" s="184">
        <f t="shared" si="6"/>
        <v>80</v>
      </c>
      <c r="N13" s="184">
        <f t="shared" si="6"/>
        <v>24</v>
      </c>
      <c r="O13" s="184">
        <f t="shared" si="6"/>
        <v>62</v>
      </c>
      <c r="P13" s="184">
        <f t="shared" si="6"/>
        <v>46</v>
      </c>
      <c r="Q13" s="184">
        <f t="shared" si="6"/>
        <v>70</v>
      </c>
      <c r="R13" s="184">
        <f t="shared" si="6"/>
        <v>421</v>
      </c>
      <c r="S13" s="184">
        <f t="shared" si="6"/>
        <v>260</v>
      </c>
      <c r="T13" s="184">
        <f t="shared" si="6"/>
        <v>179</v>
      </c>
      <c r="U13" s="184">
        <f t="shared" si="6"/>
        <v>157</v>
      </c>
      <c r="V13" s="184">
        <f t="shared" si="6"/>
        <v>282</v>
      </c>
      <c r="W13" s="184">
        <f t="shared" si="6"/>
        <v>61</v>
      </c>
      <c r="X13" s="184">
        <f t="shared" si="6"/>
        <v>13</v>
      </c>
      <c r="Y13" s="184">
        <f t="shared" si="6"/>
        <v>2</v>
      </c>
      <c r="Z13" s="184">
        <f t="shared" si="6"/>
        <v>2</v>
      </c>
      <c r="AA13" s="184">
        <f t="shared" si="6"/>
        <v>3</v>
      </c>
      <c r="AB13" s="184">
        <f t="shared" si="6"/>
        <v>1</v>
      </c>
      <c r="AC13" s="184">
        <f t="shared" si="6"/>
        <v>0</v>
      </c>
      <c r="AD13" s="184">
        <f t="shared" si="6"/>
        <v>0</v>
      </c>
      <c r="AE13" s="184">
        <f t="shared" si="6"/>
        <v>0</v>
      </c>
      <c r="AF13" s="184">
        <f>SUBTOTAL(9,AF9:AF12)</f>
        <v>0</v>
      </c>
      <c r="AG13" s="184">
        <f t="shared" ref="AG13:AT13" si="7">SUBTOTAL(9,AG8:AG12)</f>
        <v>20</v>
      </c>
      <c r="AH13" s="184">
        <f t="shared" si="7"/>
        <v>5</v>
      </c>
      <c r="AI13" s="184">
        <f t="shared" si="7"/>
        <v>10</v>
      </c>
      <c r="AJ13" s="184">
        <f t="shared" si="7"/>
        <v>15</v>
      </c>
      <c r="AK13" s="184">
        <f t="shared" si="7"/>
        <v>0</v>
      </c>
      <c r="AL13" s="184">
        <f t="shared" si="7"/>
        <v>0</v>
      </c>
      <c r="AM13" s="184">
        <f t="shared" si="7"/>
        <v>0</v>
      </c>
      <c r="AN13" s="184">
        <f t="shared" si="7"/>
        <v>0</v>
      </c>
      <c r="AO13" s="184">
        <f t="shared" si="7"/>
        <v>1</v>
      </c>
      <c r="AP13" s="184">
        <f t="shared" si="7"/>
        <v>1</v>
      </c>
      <c r="AQ13" s="184">
        <f t="shared" si="7"/>
        <v>1</v>
      </c>
      <c r="AR13" s="184">
        <f t="shared" si="7"/>
        <v>1</v>
      </c>
      <c r="AS13" s="184">
        <f t="shared" si="7"/>
        <v>0</v>
      </c>
      <c r="AT13" s="184">
        <f t="shared" si="7"/>
        <v>0</v>
      </c>
      <c r="AU13" s="204"/>
      <c r="AV13" s="132"/>
      <c r="AW13" s="204"/>
      <c r="AX13" s="132"/>
      <c r="AY13" s="184">
        <f>SUBTOTAL(9,AY8:AY12)</f>
        <v>280</v>
      </c>
      <c r="AZ13" s="184">
        <f>SUBTOTAL(9,AZ8:AZ12)</f>
        <v>184</v>
      </c>
      <c r="BA13" s="184">
        <f>SUBTOTAL(9,BA8:BA12)</f>
        <v>167</v>
      </c>
      <c r="BB13" s="184">
        <f>SUBTOTAL(9,BB8:BB12)</f>
        <v>297</v>
      </c>
      <c r="BC13" s="184">
        <f>SUBTOTAL(9,BC8:BC12)</f>
        <v>13</v>
      </c>
      <c r="BD13" s="205">
        <f>IF(ISNUMBER(BA13/AZ13),BA13/AZ13," - ")</f>
        <v>0.90760869565217395</v>
      </c>
      <c r="BE13" s="206">
        <f>IF(ISNUMBER(BB13/BA13),BB13/BA13, " - ")</f>
        <v>1.778443113772455</v>
      </c>
      <c r="BF13" s="206">
        <f>IF(ISNUMBER(BC13/BA13),BC13/BA13, " - ")</f>
        <v>7.7844311377245512E-2</v>
      </c>
      <c r="BG13" s="207">
        <f>IF(ISNUMBER((AY13+AZ13)/BA13),(AY13+AZ13)/BA13," - ")</f>
        <v>2.7784431137724552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183</v>
      </c>
      <c r="J16" s="183">
        <v>111</v>
      </c>
      <c r="K16" s="183">
        <v>105</v>
      </c>
      <c r="L16" s="183">
        <v>189</v>
      </c>
      <c r="M16" s="183">
        <v>16</v>
      </c>
      <c r="N16" s="183">
        <v>64</v>
      </c>
      <c r="O16" s="181">
        <v>0</v>
      </c>
      <c r="P16" s="183">
        <v>6</v>
      </c>
      <c r="Q16" s="183">
        <v>6</v>
      </c>
      <c r="R16" s="183">
        <v>22</v>
      </c>
      <c r="S16" s="183">
        <v>216</v>
      </c>
      <c r="T16" s="183">
        <v>118</v>
      </c>
      <c r="U16" s="183">
        <v>124</v>
      </c>
      <c r="V16" s="183">
        <v>210</v>
      </c>
      <c r="W16" s="183">
        <v>23</v>
      </c>
      <c r="X16" s="189">
        <v>89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216</v>
      </c>
      <c r="AZ16" s="127">
        <f t="shared" si="9"/>
        <v>118</v>
      </c>
      <c r="BA16" s="127">
        <f t="shared" si="9"/>
        <v>124</v>
      </c>
      <c r="BB16" s="127">
        <f t="shared" si="9"/>
        <v>210</v>
      </c>
      <c r="BC16" s="125">
        <f>IF(ISNUMBER(W16),W16," - ")</f>
        <v>23</v>
      </c>
      <c r="BD16" s="126">
        <f t="shared" ref="BD16" si="11">IF(ISNUMBER(BA16/AZ16),BA16/AZ16," - ")</f>
        <v>1.0508474576271187</v>
      </c>
      <c r="BE16" s="127">
        <f t="shared" ref="BE16" si="12">IF(ISNUMBER(BB16/BA16),BB16/BA16, " - ")</f>
        <v>1.6935483870967742</v>
      </c>
      <c r="BF16" s="127">
        <f t="shared" ref="BF16" si="13">IF(ISNUMBER(BC16/BA16),BC16/BA16, " - ")</f>
        <v>0.18548387096774194</v>
      </c>
      <c r="BG16" s="196">
        <f t="shared" si="10"/>
        <v>2.693548387096774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0</v>
      </c>
      <c r="J17" s="183">
        <v>0</v>
      </c>
      <c r="K17" s="183">
        <v>0</v>
      </c>
      <c r="L17" s="183">
        <v>0</v>
      </c>
      <c r="M17" s="183">
        <v>0</v>
      </c>
      <c r="N17" s="183">
        <v>0</v>
      </c>
      <c r="O17" s="183">
        <v>0</v>
      </c>
      <c r="P17" s="183">
        <v>0</v>
      </c>
      <c r="Q17" s="183">
        <v>0</v>
      </c>
      <c r="R17" s="183">
        <v>0</v>
      </c>
      <c r="S17" s="183">
        <v>4</v>
      </c>
      <c r="T17" s="183">
        <v>0</v>
      </c>
      <c r="U17" s="183">
        <v>0</v>
      </c>
      <c r="V17" s="183">
        <v>4</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0</v>
      </c>
      <c r="AP17" s="155">
        <v>0</v>
      </c>
      <c r="AQ17" s="154">
        <v>0</v>
      </c>
      <c r="AR17" s="155">
        <v>0</v>
      </c>
      <c r="AS17" s="339" t="s">
        <v>791</v>
      </c>
      <c r="AT17" s="209"/>
      <c r="AU17" s="200"/>
      <c r="AV17" s="209"/>
      <c r="AW17" s="200"/>
      <c r="AX17" s="209"/>
      <c r="AY17" s="128">
        <f t="shared" ref="AY17:BB17" si="14">IF(ISNUMBER(S17),S17," - ")</f>
        <v>4</v>
      </c>
      <c r="AZ17" s="129">
        <f t="shared" si="14"/>
        <v>0</v>
      </c>
      <c r="BA17" s="129">
        <f t="shared" si="14"/>
        <v>0</v>
      </c>
      <c r="BB17" s="129">
        <f t="shared" si="14"/>
        <v>4</v>
      </c>
      <c r="BC17" s="125">
        <f>IF(ISNUMBER(W17),W17," - ")</f>
        <v>0</v>
      </c>
      <c r="BD17" s="126" t="str">
        <f>IF(ISNUMBER(BA17/AZ17),BA17/AZ17," - ")</f>
        <v xml:space="preserve"> - </v>
      </c>
      <c r="BE17" s="127" t="str">
        <f>IF(ISNUMBER(BB17/BA17),BB17/BA17, " - ")</f>
        <v xml:space="preserve"> - </v>
      </c>
      <c r="BF17" s="127" t="str">
        <f>IF(ISNUMBER(BC17/BA17),BC17/BA17, " - ")</f>
        <v xml:space="preserve"> - </v>
      </c>
      <c r="BG17" s="196" t="str">
        <f>IF(ISNUMBER((AY17+AZ17)/BA17),(AY17+AZ17)/BA17," - ")</f>
        <v xml:space="preserve"> - </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183</v>
      </c>
      <c r="J18" s="184">
        <f t="shared" si="15"/>
        <v>111</v>
      </c>
      <c r="K18" s="184">
        <f t="shared" si="15"/>
        <v>105</v>
      </c>
      <c r="L18" s="184">
        <f t="shared" si="15"/>
        <v>189</v>
      </c>
      <c r="M18" s="184">
        <f t="shared" si="15"/>
        <v>16</v>
      </c>
      <c r="N18" s="184">
        <f t="shared" si="15"/>
        <v>64</v>
      </c>
      <c r="O18" s="184">
        <f t="shared" si="15"/>
        <v>0</v>
      </c>
      <c r="P18" s="184">
        <f t="shared" si="15"/>
        <v>6</v>
      </c>
      <c r="Q18" s="184">
        <f t="shared" si="15"/>
        <v>6</v>
      </c>
      <c r="R18" s="184">
        <f t="shared" si="15"/>
        <v>22</v>
      </c>
      <c r="S18" s="184">
        <f t="shared" si="15"/>
        <v>220</v>
      </c>
      <c r="T18" s="184">
        <f t="shared" si="15"/>
        <v>118</v>
      </c>
      <c r="U18" s="184">
        <f t="shared" si="15"/>
        <v>124</v>
      </c>
      <c r="V18" s="184">
        <f t="shared" si="15"/>
        <v>214</v>
      </c>
      <c r="W18" s="184">
        <f t="shared" si="15"/>
        <v>23</v>
      </c>
      <c r="X18" s="184">
        <f t="shared" si="15"/>
        <v>89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1</v>
      </c>
      <c r="AP18" s="184">
        <f t="shared" si="15"/>
        <v>1</v>
      </c>
      <c r="AQ18" s="184">
        <f t="shared" si="15"/>
        <v>1</v>
      </c>
      <c r="AR18" s="184">
        <f t="shared" si="15"/>
        <v>1</v>
      </c>
      <c r="AS18" s="184">
        <f t="shared" si="15"/>
        <v>0</v>
      </c>
      <c r="AT18" s="184">
        <f t="shared" si="15"/>
        <v>0</v>
      </c>
      <c r="AU18" s="204"/>
      <c r="AV18" s="132"/>
      <c r="AW18" s="204"/>
      <c r="AX18" s="132"/>
      <c r="AY18" s="184">
        <f>SUBTOTAL(9,AY14:AY17)</f>
        <v>220</v>
      </c>
      <c r="AZ18" s="184">
        <f>SUBTOTAL(9,AZ14:AZ17)</f>
        <v>118</v>
      </c>
      <c r="BA18" s="184">
        <f>SUBTOTAL(9,BA14:BA17)</f>
        <v>124</v>
      </c>
      <c r="BB18" s="184">
        <f>SUBTOTAL(9,BB14:BB17)</f>
        <v>214</v>
      </c>
      <c r="BC18" s="184">
        <f>SUBTOTAL(9,BC14:BC17)</f>
        <v>23</v>
      </c>
      <c r="BD18" s="205">
        <f>IF(ISNUMBER(BA18/AZ18),BA18/AZ18," - ")</f>
        <v>1.0508474576271187</v>
      </c>
      <c r="BE18" s="206">
        <f>IF(ISNUMBER(BB18/BA18),BB18/BA18, " - ")</f>
        <v>1.7258064516129032</v>
      </c>
      <c r="BF18" s="206">
        <f>IF(ISNUMBER(BC18/BA18),BC18/BA18, " - ")</f>
        <v>0.18548387096774194</v>
      </c>
      <c r="BG18" s="207">
        <f>IF(ISNUMBER((AY18+AZ18)/BA18),(AY18+AZ18)/BA18," - ")</f>
        <v>2.725806451612903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488</v>
      </c>
      <c r="J19" s="134">
        <f t="shared" si="18"/>
        <v>305</v>
      </c>
      <c r="K19" s="134">
        <f t="shared" si="18"/>
        <v>249</v>
      </c>
      <c r="L19" s="134">
        <f t="shared" si="18"/>
        <v>544</v>
      </c>
      <c r="M19" s="134">
        <f t="shared" si="18"/>
        <v>96</v>
      </c>
      <c r="N19" s="134">
        <f t="shared" si="18"/>
        <v>88</v>
      </c>
      <c r="O19" s="134">
        <f t="shared" si="18"/>
        <v>62</v>
      </c>
      <c r="P19" s="134">
        <f t="shared" si="18"/>
        <v>52</v>
      </c>
      <c r="Q19" s="134">
        <f t="shared" si="18"/>
        <v>76</v>
      </c>
      <c r="R19" s="134">
        <f t="shared" si="18"/>
        <v>443</v>
      </c>
      <c r="S19" s="134">
        <f t="shared" si="18"/>
        <v>480</v>
      </c>
      <c r="T19" s="134">
        <f t="shared" si="18"/>
        <v>297</v>
      </c>
      <c r="U19" s="134">
        <f t="shared" si="18"/>
        <v>281</v>
      </c>
      <c r="V19" s="134">
        <f t="shared" si="18"/>
        <v>496</v>
      </c>
      <c r="W19" s="134">
        <f t="shared" si="18"/>
        <v>84</v>
      </c>
      <c r="X19" s="134">
        <f t="shared" si="18"/>
        <v>102</v>
      </c>
      <c r="Y19" s="134">
        <f t="shared" si="18"/>
        <v>2</v>
      </c>
      <c r="Z19" s="134">
        <f t="shared" si="18"/>
        <v>2</v>
      </c>
      <c r="AA19" s="134">
        <f t="shared" si="18"/>
        <v>3</v>
      </c>
      <c r="AB19" s="134">
        <f t="shared" si="18"/>
        <v>1</v>
      </c>
      <c r="AC19" s="134">
        <f t="shared" si="18"/>
        <v>0</v>
      </c>
      <c r="AD19" s="134">
        <f t="shared" si="18"/>
        <v>0</v>
      </c>
      <c r="AE19" s="134">
        <f t="shared" si="18"/>
        <v>0</v>
      </c>
      <c r="AF19" s="134">
        <f t="shared" si="18"/>
        <v>0</v>
      </c>
      <c r="AG19" s="134">
        <f t="shared" si="18"/>
        <v>20</v>
      </c>
      <c r="AH19" s="134">
        <f t="shared" si="18"/>
        <v>5</v>
      </c>
      <c r="AI19" s="134">
        <f t="shared" si="18"/>
        <v>10</v>
      </c>
      <c r="AJ19" s="134">
        <f t="shared" si="18"/>
        <v>15</v>
      </c>
      <c r="AK19" s="134">
        <f t="shared" si="18"/>
        <v>0</v>
      </c>
      <c r="AL19" s="134">
        <f t="shared" si="18"/>
        <v>0</v>
      </c>
      <c r="AM19" s="134">
        <f t="shared" si="18"/>
        <v>0</v>
      </c>
      <c r="AN19" s="210">
        <f t="shared" si="18"/>
        <v>0</v>
      </c>
      <c r="AO19" s="211">
        <v>1</v>
      </c>
      <c r="AP19" s="211">
        <v>1</v>
      </c>
      <c r="AQ19" s="211">
        <v>1</v>
      </c>
      <c r="AR19" s="211">
        <v>1</v>
      </c>
      <c r="AS19" s="153">
        <f t="shared" si="18"/>
        <v>0</v>
      </c>
      <c r="AT19" s="153">
        <f t="shared" si="18"/>
        <v>0</v>
      </c>
      <c r="AU19" s="211"/>
      <c r="AV19" s="212"/>
      <c r="AW19" s="211"/>
      <c r="AX19" s="212"/>
      <c r="AY19" s="133">
        <f>SUBTOTAL(9,AY9:AY18)</f>
        <v>500</v>
      </c>
      <c r="AZ19" s="134">
        <f>SUBTOTAL(9,AZ9:AZ18)</f>
        <v>302</v>
      </c>
      <c r="BA19" s="134">
        <f>SUBTOTAL(9,BA9:BA18)</f>
        <v>291</v>
      </c>
      <c r="BB19" s="134">
        <f>SUBTOTAL(9,BB9:BB18)</f>
        <v>511</v>
      </c>
      <c r="BC19" s="135">
        <f>SUBTOTAL(9,BC9:BC18)</f>
        <v>36</v>
      </c>
      <c r="BD19" s="213">
        <f>IF(ISNUMBER(BA19/AZ19),BA19/AZ19," - ")</f>
        <v>0.96357615894039739</v>
      </c>
      <c r="BE19" s="210">
        <f>IF(ISNUMBER(BB19/BA19),BB19/BA19, " - ")</f>
        <v>1.7560137457044673</v>
      </c>
      <c r="BF19" s="210">
        <f>IF(ISNUMBER(BC19/BA19),BC19/BA19, " - ")</f>
        <v>0.12371134020618557</v>
      </c>
      <c r="BG19" s="135">
        <f>IF(ISNUMBER((AY19+AZ19)/BA19),(AY19+AZ19)/BA19," - ")</f>
        <v>2.7560137457044673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99sarexQZzbkp/67tlchy9F6BZSxMFkTlVcNRMjOVFHtuAHR+reYdAnIdP/1fAFPQNKJU7jXDepMbvmB9jGoA==" saltValue="scwBcYM/UvrDJFuI7YNja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b/9WaMHX/qG8AbCYmKBPwGXkPPbDRKte279UGGn/+WaDFQuAtCTgnfGmmBLGhciSlhpZvffO8XBbMwnQ0kT0g==" saltValue="VqFFHfIo8YFXHyb3Ofzgn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LOGROSAN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0</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v>
      </c>
      <c r="O12" s="334"/>
      <c r="P12" s="334"/>
      <c r="Q12" s="226">
        <f>IF(ISNUMBER(Datos!P12),Datos!P12,0)</f>
        <v>46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v>
      </c>
      <c r="AI12" s="334" t="str">
        <f>IF(ISNUMBER(Datos!CD12),Datos!CD12,"-")</f>
        <v>-</v>
      </c>
      <c r="AJ12" s="334" t="str">
        <f>IF(ISNUMBER(Datos!EN12),Datos!EN12," - ")</f>
        <v xml:space="preserve"> - </v>
      </c>
      <c r="AK12" s="334"/>
      <c r="AL12" s="479"/>
      <c r="AM12" s="335">
        <f>IF(ISNUMBER(Datos!R12),Datos!R12," - ")</f>
        <v>421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80</v>
      </c>
      <c r="BD12" s="229">
        <f>IF(ISNUMBER(Datos!N12),Datos!N12," - ")</f>
        <v>24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v>
      </c>
      <c r="BH12" s="260">
        <f>IF(ISNUMBER(((IF(J_V="SI",Datos!L12/Datos!K12,(Datos!L12+Datos!AB12)/(Datos!K12+Datos!AA12)))*11)/factor_trimestre),((IF(J_V="SI",Datos!L12/Datos!K12,(Datos!L12+Datos!AB12)/(Datos!K12+Datos!AA12)))*11)/factor_trimestre," - ")</f>
        <v>7.2653061224489797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-5.3932584269662923E-2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v>
      </c>
      <c r="O13" s="900">
        <f t="shared" si="0"/>
        <v>0</v>
      </c>
      <c r="P13" s="900">
        <f t="shared" si="0"/>
        <v>0</v>
      </c>
      <c r="Q13" s="899">
        <f t="shared" si="0"/>
        <v>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70</v>
      </c>
      <c r="AD13" s="899">
        <f t="shared" si="1"/>
        <v>0</v>
      </c>
      <c r="AE13" s="899">
        <f t="shared" si="1"/>
        <v>0</v>
      </c>
      <c r="AF13" s="899">
        <f t="shared" si="1"/>
        <v>0</v>
      </c>
      <c r="AG13" s="899">
        <f t="shared" si="1"/>
        <v>0</v>
      </c>
      <c r="AH13" s="899">
        <f t="shared" si="1"/>
        <v>1</v>
      </c>
      <c r="AI13" s="899">
        <f t="shared" si="1"/>
        <v>0</v>
      </c>
      <c r="AJ13" s="899">
        <f t="shared" si="1"/>
        <v>0</v>
      </c>
      <c r="AK13" s="899">
        <f t="shared" si="1"/>
        <v>0</v>
      </c>
      <c r="AL13" s="899">
        <f t="shared" si="1"/>
        <v>0</v>
      </c>
      <c r="AM13" s="899">
        <f t="shared" si="1"/>
        <v>421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v>
      </c>
      <c r="BD13" s="899">
        <f t="shared" si="1"/>
        <v>24</v>
      </c>
      <c r="BE13" s="899">
        <f t="shared" si="1"/>
        <v>0</v>
      </c>
      <c r="BF13" s="899">
        <f t="shared" si="1"/>
        <v>0</v>
      </c>
      <c r="BG13" s="899">
        <f>IF(ISNUMBER(Datos!K13/Datos!J13),Datos!K13/Datos!J13," - ")</f>
        <v>0.74226804123711343</v>
      </c>
      <c r="BH13" s="903">
        <f>IF(ISNUMBER(((Datos!L13/Datos!K13)*11)/factor_trimestre),((Datos!L13/Datos!K13)*11)/factor_trimestre," - ")</f>
        <v>7.395833333333333</v>
      </c>
      <c r="BI13" s="899">
        <f>IF(ISNUMBER('Resol  Asuntos'!D13/NºAsuntos!G13),'Resol  Asuntos'!D13/NºAsuntos!G13," - ")</f>
        <v>0.54421768707482998</v>
      </c>
      <c r="BJ13" s="899" t="str">
        <f>IF(ISNUMBER(Datos!CI13/Datos!CJ13),Datos!CI13/Datos!CJ13," - ")</f>
        <v xml:space="preserve"> - </v>
      </c>
      <c r="BK13" s="899">
        <f>SUBTOTAL(9,BK8:BK12)</f>
        <v>0</v>
      </c>
      <c r="BL13" s="899" t="str">
        <f>IF(ISNUMBER((I13-AB13+L13)/(F13)),(I13-AB13+L13)/(F13)," - ")</f>
        <v xml:space="preserve"> - </v>
      </c>
      <c r="BM13" s="904">
        <f>SUBTOTAL(9,BM9:BM12)</f>
        <v>-5.3932584269662923E-2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183</v>
      </c>
      <c r="G16" s="598">
        <f>IF(ISNUMBER(IF(D_I="SI",Datos!I16,Datos!I16+Datos!AC16)),IF(D_I="SI",Datos!I16,Datos!I16+Datos!AC16)," - ")</f>
        <v>183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105</v>
      </c>
      <c r="AC16" s="226">
        <f>IF(ISNUMBER(Datos!Q16),Datos!Q16," - ")</f>
        <v>6</v>
      </c>
      <c r="AD16" s="334"/>
      <c r="AE16" s="484"/>
      <c r="AF16" s="596">
        <f>IF(ISNUMBER(IF(D_I="SI",Datos!L16,Datos!L16+Datos!AF16)),IF(D_I="SI",Datos!L16,Datos!L16+Datos!AF16)," - ")</f>
        <v>189</v>
      </c>
      <c r="AG16" s="334"/>
      <c r="AH16" s="334"/>
      <c r="AI16" s="334"/>
      <c r="AJ16" s="334"/>
      <c r="AK16" s="334"/>
      <c r="AL16" s="479"/>
      <c r="AM16" s="335">
        <f>IF(ISNUMBER(Datos!R16),Datos!R16," - ")</f>
        <v>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v>
      </c>
      <c r="BD16" s="229">
        <f>IF(ISNUMBER(Datos!N16),Datos!N16," - ")</f>
        <v>64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0.94594594594594594</v>
      </c>
      <c r="BH16" s="260">
        <f>IF(ISNUMBER(((IF(D_I="SI",Datos!L16/Datos!K16,(Datos!L16+Datos!AF16)/(Datos!K16+Datos!AE16)))*11)/factor_trimestre),((IF(D_I="SI",Datos!L16/Datos!K16,(Datos!L16+Datos!AF16)/(Datos!K16+Datos!AE16)))*11)/factor_trimestre," - ")</f>
        <v>5.4</v>
      </c>
      <c r="BI16" s="243">
        <f>IF(ISNUMBER('Resol  Asuntos'!D16/NºAsuntos!G16),'Resol  Asuntos'!D16/NºAsuntos!G16," - ")</f>
        <v>0.15238095238095239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0</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183</v>
      </c>
      <c r="G18" s="898">
        <f>SUBTOTAL(9,G15:G17)</f>
        <v>183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105</v>
      </c>
      <c r="AC18" s="899">
        <f t="shared" si="4"/>
        <v>6</v>
      </c>
      <c r="AD18" s="899">
        <f t="shared" si="4"/>
        <v>0</v>
      </c>
      <c r="AE18" s="899">
        <f t="shared" si="4"/>
        <v>0</v>
      </c>
      <c r="AF18" s="899">
        <f t="shared" si="4"/>
        <v>189</v>
      </c>
      <c r="AG18" s="899">
        <f t="shared" si="4"/>
        <v>0</v>
      </c>
      <c r="AH18" s="899">
        <f t="shared" si="4"/>
        <v>0</v>
      </c>
      <c r="AI18" s="899">
        <f t="shared" si="4"/>
        <v>0</v>
      </c>
      <c r="AJ18" s="899">
        <f t="shared" si="4"/>
        <v>0</v>
      </c>
      <c r="AK18" s="899">
        <f t="shared" si="4"/>
        <v>0</v>
      </c>
      <c r="AL18" s="899">
        <f t="shared" si="4"/>
        <v>0</v>
      </c>
      <c r="AM18" s="899">
        <f t="shared" si="4"/>
        <v>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v>
      </c>
      <c r="BD18" s="899">
        <f t="shared" si="4"/>
        <v>64</v>
      </c>
      <c r="BE18" s="899">
        <f t="shared" si="4"/>
        <v>0</v>
      </c>
      <c r="BF18" s="899">
        <f t="shared" si="4"/>
        <v>0</v>
      </c>
      <c r="BG18" s="899">
        <f>IF(ISNUMBER(Datos!K18/Datos!J18),Datos!K18/Datos!J18," - ")</f>
        <v>0.94594594594594594</v>
      </c>
      <c r="BH18" s="903">
        <f>IF(ISNUMBER(((Datos!L18/Datos!K18)*11)/factor_trimestre),((Datos!L18/Datos!K18)*11)/factor_trimestre," - ")</f>
        <v>5.4</v>
      </c>
      <c r="BI18" s="899">
        <f>SUBTOTAL(9,BI15:BI17)</f>
        <v>0.15238095238095239</v>
      </c>
      <c r="BJ18" s="899">
        <f>SUBTOTAL(9,BJ15:BJ17)</f>
        <v>0</v>
      </c>
      <c r="BK18" s="899">
        <f>SUBTOTAL(9,BK15:BK17)</f>
        <v>0</v>
      </c>
      <c r="BL18" s="899">
        <f>IF(ISNUMBER((I18-AB18+L18)/(F18)),(I18-AB18+L18)/(F18)," - ")</f>
        <v>-0.57377049180327866</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183</v>
      </c>
      <c r="G19" s="820">
        <f t="shared" si="6"/>
        <v>183</v>
      </c>
      <c r="H19" s="822">
        <f t="shared" si="6"/>
        <v>0</v>
      </c>
      <c r="I19" s="820">
        <f t="shared" si="6"/>
        <v>0</v>
      </c>
      <c r="J19" s="822">
        <f t="shared" si="6"/>
        <v>0</v>
      </c>
      <c r="K19" s="822">
        <f t="shared" si="6"/>
        <v>0</v>
      </c>
      <c r="L19" s="881">
        <f t="shared" si="6"/>
        <v>0</v>
      </c>
      <c r="M19" s="881">
        <f t="shared" si="6"/>
        <v>0</v>
      </c>
      <c r="N19" s="881">
        <f t="shared" si="6"/>
        <v>2</v>
      </c>
      <c r="O19" s="881">
        <f t="shared" si="6"/>
        <v>0</v>
      </c>
      <c r="P19" s="881">
        <f t="shared" si="6"/>
        <v>0</v>
      </c>
      <c r="Q19" s="822">
        <f t="shared" si="6"/>
        <v>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105</v>
      </c>
      <c r="AC19" s="821">
        <f t="shared" si="7"/>
        <v>76</v>
      </c>
      <c r="AD19" s="821">
        <f t="shared" si="7"/>
        <v>0</v>
      </c>
      <c r="AE19" s="821">
        <f t="shared" si="7"/>
        <v>0</v>
      </c>
      <c r="AF19" s="828">
        <f t="shared" si="7"/>
        <v>189</v>
      </c>
      <c r="AG19" s="828">
        <f t="shared" si="7"/>
        <v>0</v>
      </c>
      <c r="AH19" s="828">
        <f t="shared" si="7"/>
        <v>1</v>
      </c>
      <c r="AI19" s="828">
        <f t="shared" si="7"/>
        <v>0</v>
      </c>
      <c r="AJ19" s="821">
        <f t="shared" si="7"/>
        <v>0</v>
      </c>
      <c r="AK19" s="828">
        <f t="shared" si="7"/>
        <v>0</v>
      </c>
      <c r="AL19" s="828">
        <f t="shared" si="7"/>
        <v>0</v>
      </c>
      <c r="AM19" s="828">
        <f t="shared" si="7"/>
        <v>443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96</v>
      </c>
      <c r="BD19" s="820">
        <f t="shared" si="7"/>
        <v>88</v>
      </c>
      <c r="BE19" s="820">
        <f t="shared" si="7"/>
        <v>0</v>
      </c>
      <c r="BF19" s="830">
        <f t="shared" si="7"/>
        <v>0</v>
      </c>
      <c r="BG19" s="915">
        <f>IF(ISNUMBER(Datos!K19/Datos!J19),Datos!K19/Datos!J19," - ")</f>
        <v>0.81639344262295077</v>
      </c>
      <c r="BH19" s="915">
        <f>IF(ISNUMBER(((Datos!L19/Datos!K19)*11)/factor_trimestre),((Datos!L19/Datos!K19)*11)/factor_trimestre," - ")</f>
        <v>6.5542168674698802</v>
      </c>
      <c r="BI19" s="813">
        <f>IF(ISNUMBER(Datos!J19/Datos!I19),Datos!J19/Datos!I19," - ")</f>
        <v>0.625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-0.57377049180327866</v>
      </c>
      <c r="BM19" s="889">
        <f>IF(ISNUMBER((Datos!P19-Datos!Q19+R19)/(Datos!R19-Datos!P19+Datos!Q19-R19)),(Datos!P19-Datos!Q19+R19)/(Datos!R19-Datos!P19+Datos!Q19-R19)," - ")</f>
        <v>-5.1391862955032119E-2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105.65509926170151</v>
      </c>
      <c r="G21" s="552">
        <f>IF(ISNUMBER(STDEV(G8:G18)),STDEV(G8:G18),"-")</f>
        <v>100.23322802344541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57.510868538042445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37.862910611837542</v>
      </c>
      <c r="BD21" s="551"/>
      <c r="BE21" s="551">
        <f>IF(ISNUMBER(STDEV(BE8:BE18)),STDEV(BE8:BE18),"-")</f>
        <v>0</v>
      </c>
      <c r="BF21" s="556">
        <f>IF(ISNUMBER(STDEV(BF8:BF18)),STDEV(BF8:BF18),"-")</f>
        <v>0</v>
      </c>
      <c r="BG21" s="775">
        <f>IF(ISNUMBER(STDEV(BG8:BG18)),STDEV(BG8:BG18),"-")</f>
        <v>0.11540464620368553</v>
      </c>
      <c r="BH21" s="776">
        <f>IF(ISNUMBER(STDEV(BH8:BH18)),STDEV(BH8:BH18),"-")</f>
        <v>1.1158880097095156</v>
      </c>
      <c r="BI21" s="249">
        <f>IF(ISNUMBER(STDEV(BI8:BI18)),STDEV(BI8:BI18),"-")</f>
        <v>0.22622704425389428</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PJklsgxkmocAX7stCWuCIIquSGQZQINafvF1l9JROGc5nqbpOuU8J8qgLmXJVb302F1cbrORf80HZkYNqfB/NQ==" saltValue="uDCYn42fJe491W9GtKTgD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LOGROSAN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0</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70</v>
      </c>
      <c r="AA12" s="332" t="str">
        <f>IF(ISNUMBER(IF(J_V="SI",Datos!L12,Datos!L12+Datos!AB12)-IF(Monitorios="SI",Datos!CD12,0)),
                          IF(J_V="SI",Datos!L12,Datos!L12+Datos!AB12)-IF(Monitorios="SI",Datos!CD12,0),
                          " - ")</f>
        <v xml:space="preserve"> - </v>
      </c>
      <c r="AB12" s="334"/>
      <c r="AC12" s="334"/>
      <c r="AD12" s="484"/>
      <c r="AE12" s="484">
        <f>IF(ISNUMBER(Datos!R12),Datos!R12," - ")</f>
        <v>421</v>
      </c>
      <c r="AF12" s="229" t="str">
        <f>IF(ISNUMBER(Datos!BV12),Datos!BV12," - ")</f>
        <v xml:space="preserve"> - </v>
      </c>
      <c r="AG12" s="225" t="str">
        <f>IF(ISNUMBER(Datos!DV12),Datos!DV12," - ")</f>
        <v xml:space="preserve"> - </v>
      </c>
      <c r="AH12" s="298"/>
      <c r="AI12" s="227"/>
      <c r="AJ12" s="225">
        <f>IF(ISNUMBER(Datos!M12),Datos!M12," - ")</f>
        <v>80</v>
      </c>
      <c r="AK12" s="229">
        <f>IF(ISNUMBER(Datos!N12),Datos!N12," - ")</f>
        <v>24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7.2653061224489797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-5.3932584269662923E-2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70</v>
      </c>
      <c r="AA13" s="900">
        <f t="shared" si="2"/>
        <v>0</v>
      </c>
      <c r="AB13" s="900">
        <f t="shared" si="2"/>
        <v>0</v>
      </c>
      <c r="AC13" s="900">
        <f t="shared" si="2"/>
        <v>0</v>
      </c>
      <c r="AD13" s="900">
        <f t="shared" si="2"/>
        <v>0</v>
      </c>
      <c r="AE13" s="900">
        <f t="shared" si="2"/>
        <v>421</v>
      </c>
      <c r="AF13" s="908">
        <f t="shared" si="2"/>
        <v>0</v>
      </c>
      <c r="AG13" s="908">
        <f t="shared" si="2"/>
        <v>0</v>
      </c>
      <c r="AH13" s="908">
        <f t="shared" si="2"/>
        <v>0</v>
      </c>
      <c r="AI13" s="908">
        <f t="shared" si="2"/>
        <v>0</v>
      </c>
      <c r="AJ13" s="908">
        <f t="shared" si="2"/>
        <v>80</v>
      </c>
      <c r="AK13" s="908">
        <f t="shared" si="2"/>
        <v>24</v>
      </c>
      <c r="AL13" s="908">
        <f t="shared" si="2"/>
        <v>0</v>
      </c>
      <c r="AM13" s="908">
        <f t="shared" si="2"/>
        <v>0</v>
      </c>
      <c r="AN13" s="908">
        <f t="shared" si="2"/>
        <v>0</v>
      </c>
      <c r="AO13" s="904">
        <f>IF(ISNUMBER(((NºAsuntos!I13/NºAsuntos!G13)*11)/factor_trimestre),((NºAsuntos!I13/NºAsuntos!G13)*11)/factor_trimestre," - ")</f>
        <v>7.2653061224489797</v>
      </c>
      <c r="AP13" s="910" t="str">
        <f>IF(ISNUMBER(Datos!CI13/Datos!CJ13),Datos!CI13/Datos!CJ13," - ")</f>
        <v xml:space="preserve"> - </v>
      </c>
      <c r="AQ13" s="928">
        <f t="shared" ref="AQ13:AV13" si="3">SUBTOTAL(9,AQ9:AQ12)</f>
        <v>0</v>
      </c>
      <c r="AR13" s="928">
        <f t="shared" si="3"/>
        <v>-5.3932584269662923E-2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183</v>
      </c>
      <c r="G16" s="225">
        <f>IF(ISNUMBER(IF(D_I="SI",Datos!I16,Datos!I16+Datos!AC16)),IF(D_I="SI",Datos!I16,Datos!I16+Datos!AC16)," - ")</f>
        <v>183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105</v>
      </c>
      <c r="Z16" s="619">
        <f>IF(ISNUMBER(Datos!Q16),Datos!Q16," - ")</f>
        <v>6</v>
      </c>
      <c r="AA16" s="332">
        <f>IF(ISNUMBER(IF(D_I="SI",Datos!L16,Datos!L16+Datos!AF16)),IF(D_I="SI",Datos!L16,Datos!L16+Datos!AF16)," - ")</f>
        <v>189</v>
      </c>
      <c r="AB16" s="334"/>
      <c r="AC16" s="334"/>
      <c r="AD16" s="484"/>
      <c r="AE16" s="484">
        <f>IF(ISNUMBER(Datos!R16),Datos!R16," - ")</f>
        <v>22</v>
      </c>
      <c r="AF16" s="229" t="str">
        <f>IF(ISNUMBER(Datos!BV16),Datos!BV16," - ")</f>
        <v xml:space="preserve"> - </v>
      </c>
      <c r="AG16" s="225"/>
      <c r="AH16" s="298"/>
      <c r="AI16" s="227"/>
      <c r="AJ16" s="225">
        <f>IF(ISNUMBER(Datos!M16),Datos!M16," - ")</f>
        <v>16</v>
      </c>
      <c r="AK16" s="229">
        <f>IF(ISNUMBER(Datos!N16),Datos!N16," - ")</f>
        <v>64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0</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183</v>
      </c>
      <c r="G18" s="898">
        <f>SUBTOTAL(9,G15:G17)</f>
        <v>183</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105</v>
      </c>
      <c r="Z18" s="932">
        <f t="shared" si="5"/>
        <v>6</v>
      </c>
      <c r="AA18" s="932">
        <f t="shared" si="5"/>
        <v>189</v>
      </c>
      <c r="AB18" s="932">
        <f t="shared" si="5"/>
        <v>0</v>
      </c>
      <c r="AC18" s="932">
        <f t="shared" si="5"/>
        <v>0</v>
      </c>
      <c r="AD18" s="932">
        <f t="shared" si="5"/>
        <v>0</v>
      </c>
      <c r="AE18" s="932">
        <f t="shared" si="5"/>
        <v>22</v>
      </c>
      <c r="AF18" s="932">
        <f t="shared" si="5"/>
        <v>0</v>
      </c>
      <c r="AG18" s="932">
        <f t="shared" si="5"/>
        <v>0</v>
      </c>
      <c r="AH18" s="932">
        <f t="shared" si="5"/>
        <v>0</v>
      </c>
      <c r="AI18" s="932">
        <f t="shared" si="5"/>
        <v>0</v>
      </c>
      <c r="AJ18" s="932">
        <f t="shared" si="5"/>
        <v>16</v>
      </c>
      <c r="AK18" s="932">
        <f t="shared" si="5"/>
        <v>64</v>
      </c>
      <c r="AL18" s="932">
        <f t="shared" si="5"/>
        <v>0</v>
      </c>
      <c r="AM18" s="932">
        <f t="shared" si="5"/>
        <v>0</v>
      </c>
      <c r="AN18" s="932">
        <f t="shared" si="5"/>
        <v>0</v>
      </c>
      <c r="AO18" s="934">
        <f>IF(ISNUMBER(((NºAsuntos!I18/NºAsuntos!G18)*11)/factor_trimestre),((NºAsuntos!I18/NºAsuntos!G18)*11)/factor_trimestre," - ")</f>
        <v>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183</v>
      </c>
      <c r="G19" s="820">
        <f t="shared" si="7"/>
        <v>183</v>
      </c>
      <c r="H19" s="821">
        <f t="shared" si="7"/>
        <v>0</v>
      </c>
      <c r="I19" s="820">
        <f t="shared" si="7"/>
        <v>0</v>
      </c>
      <c r="J19" s="822">
        <f t="shared" si="7"/>
        <v>0</v>
      </c>
      <c r="K19" s="820">
        <f t="shared" si="7"/>
        <v>0</v>
      </c>
      <c r="L19" s="823">
        <f t="shared" si="7"/>
        <v>0</v>
      </c>
      <c r="M19" s="820">
        <f t="shared" si="7"/>
        <v>0</v>
      </c>
      <c r="N19" s="821">
        <f t="shared" si="7"/>
        <v>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105</v>
      </c>
      <c r="Z19" s="827">
        <f t="shared" si="8"/>
        <v>76</v>
      </c>
      <c r="AA19" s="828">
        <f t="shared" si="8"/>
        <v>189</v>
      </c>
      <c r="AB19" s="828">
        <f t="shared" si="8"/>
        <v>0</v>
      </c>
      <c r="AC19" s="828">
        <f t="shared" si="8"/>
        <v>0</v>
      </c>
      <c r="AD19" s="829">
        <f t="shared" si="8"/>
        <v>0</v>
      </c>
      <c r="AE19" s="829">
        <f t="shared" si="8"/>
        <v>443</v>
      </c>
      <c r="AF19" s="830">
        <f t="shared" si="8"/>
        <v>0</v>
      </c>
      <c r="AG19" s="831">
        <f t="shared" si="8"/>
        <v>0</v>
      </c>
      <c r="AH19" s="832">
        <f t="shared" si="8"/>
        <v>0</v>
      </c>
      <c r="AI19" s="830">
        <f t="shared" si="8"/>
        <v>0</v>
      </c>
      <c r="AJ19" s="820">
        <f t="shared" si="8"/>
        <v>96</v>
      </c>
      <c r="AK19" s="820">
        <f t="shared" si="8"/>
        <v>88</v>
      </c>
      <c r="AL19" s="820">
        <f t="shared" si="8"/>
        <v>0</v>
      </c>
      <c r="AM19" s="833">
        <f t="shared" si="8"/>
        <v>0</v>
      </c>
      <c r="AN19" s="823">
        <f>IF(ISNUMBER(Datos!K19/Datos!J19),Datos!K19/Datos!J19," - ")</f>
        <v>0.81639344262295077</v>
      </c>
      <c r="AO19" s="823">
        <f>IF(ISNUMBER(FIND("06",Criterios!A8,1)),(IF(ISNUMBER(((Datos!R19/Datos!Q19)*11)/factor_trimestre),((Datos!R19/Datos!Q19)*11)/factor_trimestre," - ")),(IF(ISNUMBER(((Datos!L19/Datos!K19)*11)/factor_trimestre),((Datos!L19/Datos!K19)*11)/factor_trimestre," - ")))</f>
        <v>6.5542168674698802</v>
      </c>
      <c r="AP19" s="834" t="str">
        <f>IF(ISNUMBER(Datos!CI19/Datos!CJ19),Datos!CI19/Datos!CJ19," - ")</f>
        <v xml:space="preserve"> - </v>
      </c>
      <c r="AQ19" s="834">
        <f>IF(OR(ISNUMBER(FIND("01",Criterios!A8,1)),ISNUMBER(FIND("02",Criterios!A8,1)),ISNUMBER(FIND("03",Criterios!A8,1)),ISNUMBER(FIND("04",Criterios!A8,1))),(J19-Y19+K19)/(F19-K19),(I19-Y19+K19)/(F19-K19))</f>
        <v>-0.57377049180327866</v>
      </c>
      <c r="AR19" s="834">
        <f>IF(ISNUMBER((Datos!P19-Datos!Q19+O19)/(Datos!R19-Datos!P19+Datos!Q19-O19)),(Datos!P19-Datos!Q19+O19)/(Datos!R19-Datos!P19+Datos!Q19-O19)," - ")</f>
        <v>-5.1391862955032119E-2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105.65509926170151</v>
      </c>
      <c r="G21" s="552">
        <f>IF(ISNUMBER(STDEV(G8:G18)),STDEV(G8:G18),"-")</f>
        <v>100.23322802344541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37.862910611837542</v>
      </c>
      <c r="AK21" s="252"/>
      <c r="AL21" s="252">
        <f>IF(ISNUMBER(STDEV(AL8:AL18)),STDEV(AL8:AL18),"-")</f>
        <v>0</v>
      </c>
      <c r="AM21" s="254">
        <f>IF(ISNUMBER(STDEV(AM8:AM18)),STDEV(AM8:AM18),"-")</f>
        <v>0</v>
      </c>
      <c r="AN21" s="539">
        <f>IF(ISNUMBER(STDEV(AN8:AN18)),STDEV(AN8:AN18),"-")</f>
        <v>0</v>
      </c>
      <c r="AO21" s="540">
        <f>IF(ISNUMBER(STDEV(AO8:AO18)),STDEV(AO8:AO18),"-")</f>
        <v>1.0769349919169802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0O5eACz3QdPooYho+n5W7Y0ZfeqdnsZFJQvgZ+CzNQwkmziWl0kRgadePvxGiwLkpPJ+XImcOI4sBVAluhZuaQ==" saltValue="dNmwqotJ1mBMNtDCXFb0e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2jv3BCt2Ra2+YPgZDO7/KHebUB0/iPKjAQxKGU9mwlc7JAwUlZ/44myywoBrek47lJyCZnjTAvo+U68ioq79A==" saltValue="qICSf9F4qgpf0mgqJN9C8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bChZDinHBMZ5rqXukSGETQOjo5StF5HB8p5NCtkrtkebdXPfDJGqBD6omFrWgjYyrhuve5L9pKnwb3nVxVYkQ==" saltValue="VwXhconSR9foQjnvIFmTB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LOGROSAN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0.54421768707482998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0.38482001697227081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Jkw2oPqzP7nwVd1f0eARmraPB64AXqcIvRji41asrHcIA/szxDEFttUbiDfaM5FNtb8g3ygpKUpAFCNt25r6Q==" saltValue="H/J5zmZq8fVEv7dHAtng4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B6OMHWkoPBt8IMKVGzep8pu3TOCmb8PQpGQssqB4LpZxaNgD6VuYiRMsI7fyaqVttPdsFALNftx3QnKoaMOiaQ==" saltValue="YZ5MEVf8eehmZAUlC9n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LOGROSAN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0</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421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80</v>
      </c>
      <c r="AM12" s="690">
        <f>IF(ISNUMBER(Datos!N12+DatosP!N16),Datos!N12+DatosP!N16," - ")</f>
        <v>24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7.2653061224489797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-5.3932584269662923E-2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46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70</v>
      </c>
      <c r="AE13" s="939">
        <f t="shared" si="1"/>
        <v>0</v>
      </c>
      <c r="AF13" s="939">
        <f t="shared" si="1"/>
        <v>0</v>
      </c>
      <c r="AG13" s="939">
        <f t="shared" si="1"/>
        <v>0</v>
      </c>
      <c r="AH13" s="939">
        <f t="shared" si="1"/>
        <v>421</v>
      </c>
      <c r="AI13" s="939">
        <f t="shared" si="1"/>
        <v>0</v>
      </c>
      <c r="AJ13" s="939">
        <f t="shared" si="1"/>
        <v>0</v>
      </c>
      <c r="AK13" s="939">
        <f t="shared" si="1"/>
        <v>0</v>
      </c>
      <c r="AL13" s="939">
        <f t="shared" si="1"/>
        <v>80</v>
      </c>
      <c r="AM13" s="939">
        <f t="shared" si="1"/>
        <v>24</v>
      </c>
      <c r="AN13" s="939">
        <f t="shared" si="1"/>
        <v>0</v>
      </c>
      <c r="AO13" s="939">
        <f t="shared" si="1"/>
        <v>0</v>
      </c>
      <c r="AP13" s="944">
        <f>IF(ISNUMBER(((Datos!L13/Datos!K13)*11)/factor_trimestre),((Datos!L13/Datos!K13)*11)/factor_trimestre," - ")</f>
        <v>7.395833333333333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-5.3932584269662923E-2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0</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5.4</v>
      </c>
      <c r="AQ18" s="944">
        <f>IF(ISNUMBER(((Datos!M18/Datos!L18)*11)/factor_trimestre),((Datos!M18/Datos!L18)*11)/factor_trimestre," - ")</f>
        <v>0.25396825396825395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-6.7796610169491525E-2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46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70</v>
      </c>
      <c r="AE19" s="957">
        <f t="shared" si="5"/>
        <v>0</v>
      </c>
      <c r="AF19" s="958">
        <f t="shared" si="5"/>
        <v>0</v>
      </c>
      <c r="AG19" s="958">
        <f t="shared" si="5"/>
        <v>0</v>
      </c>
      <c r="AH19" s="958">
        <f t="shared" si="5"/>
        <v>421</v>
      </c>
      <c r="AI19" s="958">
        <f t="shared" si="5"/>
        <v>0</v>
      </c>
      <c r="AJ19" s="959">
        <f t="shared" si="5"/>
        <v>0</v>
      </c>
      <c r="AK19" s="959">
        <f t="shared" si="5"/>
        <v>0</v>
      </c>
      <c r="AL19" s="951">
        <f t="shared" si="5"/>
        <v>80</v>
      </c>
      <c r="AM19" s="951">
        <f t="shared" si="5"/>
        <v>24</v>
      </c>
      <c r="AN19" s="951">
        <f t="shared" si="5"/>
        <v>0</v>
      </c>
      <c r="AO19" s="951">
        <f t="shared" si="5"/>
        <v>0</v>
      </c>
      <c r="AP19" s="951">
        <f>IF(ISNUMBER(((Datos!L19/Datos!K19)*11)/factor_trimestre),((Datos!L19/Datos!K19)*11)/factor_trimestre," - ")</f>
        <v>6.5542168674698802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-5.1391862955032119E-2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46.188021535170066</v>
      </c>
      <c r="AM21" s="736"/>
      <c r="AN21" s="736">
        <f>IF(ISNUMBER(STDEV(AN8:AN18)),STDEV(AN8:AN18),"-")</f>
        <v>0</v>
      </c>
      <c r="AO21" s="742">
        <f>IF(ISNUMBER(STDEV(AO8:AO18)),STDEV(AO8:AO18),"-")</f>
        <v>0</v>
      </c>
      <c r="AP21" s="779">
        <f>IF(ISNUMBER(STDEV(AP8:AP18)),STDEV(AP8:AP18),"-")</f>
        <v>1.1165239941944378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PJQWkar5hJQB6jaCVOzaM4CpiLFLLUbpjS6XlY7I7YB7/hxPtiUWZagE2TB3z/bmuxK3cZq4glpF/u3WJ2KIJg==" saltValue="6VqnZ84cQ3pN618doSKnu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